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rbert\Downloads\"/>
    </mc:Choice>
  </mc:AlternateContent>
  <xr:revisionPtr revIDLastSave="0" documentId="13_ncr:1_{0B4011AC-F4AC-4D26-BDF5-E9CF1198F3DB}" xr6:coauthVersionLast="47" xr6:coauthVersionMax="47" xr10:uidLastSave="{00000000-0000-0000-0000-000000000000}"/>
  <workbookProtection workbookAlgorithmName="SHA-512" workbookHashValue="i9g5xKOP1PmgGcVY7VO09D+IWhhz6dtFFL+JPohfzHCXRJx7UbdZTRh+zpgHHc6arcEno8MIEhyuodaRM3zqJw==" workbookSaltValue="dflbfkUx1dI+lG93PfuhRA==" workbookSpinCount="100000" lockStructure="1"/>
  <bookViews>
    <workbookView xWindow="25080" yWindow="-120" windowWidth="25440" windowHeight="15390" firstSheet="6" activeTab="11" xr2:uid="{00000000-000D-0000-FFFF-FFFF00000000}"/>
  </bookViews>
  <sheets>
    <sheet name="Resumo" sheetId="2" r:id="rId1"/>
    <sheet name="Serv. de limpeza" sheetId="4" r:id="rId2"/>
    <sheet name="Carregador" sheetId="24" r:id="rId3"/>
    <sheet name="Copeiro" sheetId="25" r:id="rId4"/>
    <sheet name="Garçom" sheetId="26" r:id="rId5"/>
    <sheet name="Informações Específicas" sheetId="32" r:id="rId6"/>
    <sheet name="Informações Gerais" sheetId="23" r:id="rId7"/>
    <sheet name="BDI" sheetId="31" r:id="rId8"/>
    <sheet name="CCT" sheetId="10" r:id="rId9"/>
    <sheet name="Uniformes e EPIs" sheetId="7" r:id="rId10"/>
    <sheet name="Material de Consumo" sheetId="28" r:id="rId11"/>
    <sheet name="Equipamentos" sheetId="36" r:id="rId12"/>
    <sheet name="Férias" sheetId="33" r:id="rId13"/>
  </sheets>
  <definedNames>
    <definedName name="_xlnm.Print_Area" localSheetId="2">Carregador!$A$1:$H$135</definedName>
    <definedName name="_xlnm.Print_Area" localSheetId="3">Copeiro!$A$1:$H$135</definedName>
    <definedName name="_xlnm.Print_Area" localSheetId="4">Garçom!$A$1:$H$135</definedName>
    <definedName name="_xlnm.Print_Area" localSheetId="10">'Material de Consumo'!$A$1:$F$66</definedName>
    <definedName name="_xlnm.Print_Area" localSheetId="0">Resumo!$A$1:$I$7</definedName>
    <definedName name="_xlnm.Print_Area" localSheetId="1">'Serv. de limpeza'!$A$1:$H$135</definedName>
    <definedName name="_xlnm.Print_Area" localSheetId="9">'Uniformes e EPIs'!$A$1:$F$60</definedName>
    <definedName name="Excel_BuiltIn_Print_Area" localSheetId="2">Carregador!$B$1:$H$135</definedName>
    <definedName name="Excel_BuiltIn_Print_Area" localSheetId="3">Copeiro!$B$1:$H$135</definedName>
    <definedName name="Excel_BuiltIn_Print_Area" localSheetId="4">Garçom!$B$1:$H$135</definedName>
    <definedName name="Excel_BuiltIn_Print_Area" localSheetId="1">'Serv. de limpeza'!$B$1:$H$135</definedName>
    <definedName name="UN">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1" i="36" l="1"/>
  <c r="F32" i="28"/>
  <c r="F4" i="28"/>
  <c r="G34" i="36"/>
  <c r="G35" i="36"/>
  <c r="G36" i="36"/>
  <c r="G37" i="36"/>
  <c r="G38" i="36"/>
  <c r="G39" i="36"/>
  <c r="G40" i="36"/>
  <c r="G41" i="36"/>
  <c r="G42" i="36"/>
  <c r="G28" i="36"/>
  <c r="G29" i="36"/>
  <c r="G30" i="36"/>
  <c r="G32" i="36"/>
  <c r="G23" i="36"/>
  <c r="G33" i="36"/>
  <c r="G27" i="36"/>
  <c r="G26" i="36"/>
  <c r="G25" i="36"/>
  <c r="G24" i="36"/>
  <c r="G22" i="36"/>
  <c r="G21" i="36"/>
  <c r="A21" i="36"/>
  <c r="A22" i="36" s="1"/>
  <c r="A27" i="36" s="1"/>
  <c r="G20" i="36"/>
  <c r="G13" i="36"/>
  <c r="A13" i="36"/>
  <c r="G12" i="36"/>
  <c r="G5" i="36"/>
  <c r="A5" i="36"/>
  <c r="G4" i="36"/>
  <c r="G43" i="36" l="1"/>
  <c r="G45" i="36" s="1"/>
  <c r="G14" i="36"/>
  <c r="G16" i="36" s="1"/>
  <c r="H111" i="24" s="1"/>
  <c r="G6" i="36"/>
  <c r="G8" i="36" s="1"/>
  <c r="H111" i="4" s="1"/>
  <c r="H111" i="25" l="1"/>
  <c r="H111" i="26"/>
  <c r="H27" i="4" l="1"/>
  <c r="F55" i="28"/>
  <c r="F54" i="28"/>
  <c r="F53" i="28"/>
  <c r="F52" i="28"/>
  <c r="F51" i="28"/>
  <c r="F50" i="28"/>
  <c r="F49" i="28"/>
  <c r="F48" i="28"/>
  <c r="F47" i="28"/>
  <c r="F46" i="28"/>
  <c r="F45" i="28"/>
  <c r="F44" i="28"/>
  <c r="F43" i="28"/>
  <c r="F42" i="28"/>
  <c r="F41" i="28"/>
  <c r="F40" i="28"/>
  <c r="F39" i="28"/>
  <c r="F38" i="28"/>
  <c r="A38" i="28"/>
  <c r="A39" i="28" s="1"/>
  <c r="A40" i="28" s="1"/>
  <c r="A41" i="28" s="1"/>
  <c r="A42" i="28" s="1"/>
  <c r="A43" i="28" s="1"/>
  <c r="A44" i="28" s="1"/>
  <c r="F37" i="28"/>
  <c r="F14" i="28"/>
  <c r="F15" i="28"/>
  <c r="F16" i="28"/>
  <c r="F17" i="28"/>
  <c r="F18" i="28"/>
  <c r="F19" i="28"/>
  <c r="F20" i="28"/>
  <c r="F21" i="28"/>
  <c r="F13" i="28"/>
  <c r="F12" i="28"/>
  <c r="A5" i="28"/>
  <c r="A6" i="28" s="1"/>
  <c r="A8" i="28" s="1"/>
  <c r="F5" i="28"/>
  <c r="F6" i="28"/>
  <c r="F7" i="28"/>
  <c r="F8" i="28"/>
  <c r="F9" i="28"/>
  <c r="F10" i="28"/>
  <c r="F11" i="28"/>
  <c r="F8" i="7"/>
  <c r="F9" i="7"/>
  <c r="F41" i="7"/>
  <c r="F42" i="7"/>
  <c r="F43" i="7"/>
  <c r="F44" i="7"/>
  <c r="F23" i="7"/>
  <c r="F24" i="7"/>
  <c r="F25" i="7"/>
  <c r="F26" i="7"/>
  <c r="F27" i="7"/>
  <c r="F28" i="7"/>
  <c r="F29" i="7"/>
  <c r="G12" i="10"/>
  <c r="F12" i="10" s="1"/>
  <c r="E12" i="10"/>
  <c r="D12" i="10" s="1"/>
  <c r="G39" i="26"/>
  <c r="G39" i="25"/>
  <c r="H27" i="25"/>
  <c r="H27" i="24"/>
  <c r="A9" i="28" l="1"/>
  <c r="A10" i="28" s="1"/>
  <c r="A11" i="28" s="1"/>
  <c r="F56" i="28"/>
  <c r="F22" i="28"/>
  <c r="F23" i="28" s="1"/>
  <c r="F25" i="28" s="1"/>
  <c r="N13" i="31"/>
  <c r="G122" i="26" s="1"/>
  <c r="G123" i="26"/>
  <c r="G121" i="26"/>
  <c r="G120" i="26"/>
  <c r="G118" i="26"/>
  <c r="G117" i="26"/>
  <c r="G89" i="26"/>
  <c r="G90" i="26"/>
  <c r="G91" i="26"/>
  <c r="G92" i="26"/>
  <c r="G88" i="26"/>
  <c r="G79" i="26"/>
  <c r="G80" i="26"/>
  <c r="G82" i="26"/>
  <c r="G78" i="26"/>
  <c r="G71" i="26"/>
  <c r="H57" i="26"/>
  <c r="H58" i="26"/>
  <c r="H59" i="26"/>
  <c r="H60" i="26"/>
  <c r="H61" i="26"/>
  <c r="H62" i="26"/>
  <c r="H56" i="26"/>
  <c r="H55" i="26"/>
  <c r="G44" i="26"/>
  <c r="G45" i="26"/>
  <c r="G46" i="26"/>
  <c r="G47" i="26"/>
  <c r="G48" i="26"/>
  <c r="G49" i="26"/>
  <c r="G50" i="26"/>
  <c r="G38" i="26"/>
  <c r="G37" i="26"/>
  <c r="G31" i="26"/>
  <c r="G30" i="26"/>
  <c r="G29" i="26"/>
  <c r="G28" i="26"/>
  <c r="G27" i="26"/>
  <c r="H27" i="26" s="1"/>
  <c r="G26" i="26"/>
  <c r="G20" i="26"/>
  <c r="H25" i="26" s="1"/>
  <c r="H26" i="26" s="1"/>
  <c r="H4" i="26"/>
  <c r="L13" i="31"/>
  <c r="M13" i="31"/>
  <c r="K13" i="31"/>
  <c r="Q10" i="31"/>
  <c r="H14" i="23"/>
  <c r="G42" i="26" s="1"/>
  <c r="G51" i="26" s="1"/>
  <c r="H15" i="23"/>
  <c r="G43" i="26" s="1"/>
  <c r="H50" i="23"/>
  <c r="H27" i="23"/>
  <c r="G89" i="4"/>
  <c r="G90" i="4"/>
  <c r="G91" i="4"/>
  <c r="G92" i="4"/>
  <c r="H55" i="25"/>
  <c r="H55" i="24"/>
  <c r="H55" i="4"/>
  <c r="H38" i="23"/>
  <c r="H43" i="23" s="1"/>
  <c r="G93" i="4" s="1"/>
  <c r="H32" i="23"/>
  <c r="H30" i="23"/>
  <c r="H31" i="23" s="1"/>
  <c r="H10" i="23"/>
  <c r="H9" i="23"/>
  <c r="F57" i="28" l="1"/>
  <c r="F59" i="28" s="1"/>
  <c r="G32" i="26"/>
  <c r="G72" i="26"/>
  <c r="G75" i="26" s="1"/>
  <c r="H11" i="23"/>
  <c r="G88" i="4"/>
  <c r="G120" i="25"/>
  <c r="G121" i="25"/>
  <c r="G122" i="25"/>
  <c r="G123" i="25"/>
  <c r="G118" i="25"/>
  <c r="G117" i="25"/>
  <c r="G43" i="25"/>
  <c r="G93" i="26"/>
  <c r="G89" i="25"/>
  <c r="G90" i="25"/>
  <c r="G91" i="25"/>
  <c r="G92" i="25"/>
  <c r="G88" i="25"/>
  <c r="H110" i="26" l="1"/>
  <c r="H110" i="25"/>
  <c r="H28" i="26"/>
  <c r="H29" i="26"/>
  <c r="G93" i="25"/>
  <c r="H30" i="26" l="1"/>
  <c r="H32" i="26" s="1"/>
  <c r="G27" i="25"/>
  <c r="G28" i="25"/>
  <c r="G29" i="25"/>
  <c r="G30" i="25"/>
  <c r="G31" i="25"/>
  <c r="G26" i="25"/>
  <c r="G20" i="25"/>
  <c r="H25" i="25" s="1"/>
  <c r="G79" i="25"/>
  <c r="G80" i="25"/>
  <c r="G82" i="25"/>
  <c r="G78" i="25"/>
  <c r="H37" i="26" l="1"/>
  <c r="H39" i="26" s="1"/>
  <c r="H66" i="26"/>
  <c r="H67" i="26" s="1"/>
  <c r="H74" i="26" s="1"/>
  <c r="H38" i="26"/>
  <c r="H26" i="25"/>
  <c r="H28" i="25"/>
  <c r="H91" i="26"/>
  <c r="H82" i="26"/>
  <c r="H88" i="26"/>
  <c r="H89" i="26"/>
  <c r="H90" i="26"/>
  <c r="H80" i="26"/>
  <c r="H127" i="26"/>
  <c r="H43" i="26"/>
  <c r="H79" i="26"/>
  <c r="G32" i="25"/>
  <c r="H54" i="26"/>
  <c r="H57" i="25"/>
  <c r="H58" i="25"/>
  <c r="H59" i="25"/>
  <c r="H60" i="25"/>
  <c r="H61" i="25"/>
  <c r="H62" i="25"/>
  <c r="H56" i="25"/>
  <c r="G44" i="25"/>
  <c r="G45" i="25"/>
  <c r="G46" i="25"/>
  <c r="G47" i="25"/>
  <c r="G48" i="25"/>
  <c r="G49" i="25"/>
  <c r="G50" i="25"/>
  <c r="G38" i="25"/>
  <c r="G37" i="25"/>
  <c r="H71" i="26" l="1"/>
  <c r="H92" i="26"/>
  <c r="H93" i="26" s="1"/>
  <c r="H63" i="26"/>
  <c r="H73" i="26" s="1"/>
  <c r="H29" i="25"/>
  <c r="G71" i="25"/>
  <c r="G118" i="24"/>
  <c r="G120" i="24"/>
  <c r="G121" i="24"/>
  <c r="G122" i="24"/>
  <c r="G123" i="24"/>
  <c r="G117" i="24"/>
  <c r="M10" i="31"/>
  <c r="N10" i="31"/>
  <c r="L10" i="31"/>
  <c r="L15" i="31" s="1"/>
  <c r="G124" i="24" s="1"/>
  <c r="G89" i="24"/>
  <c r="G90" i="24"/>
  <c r="G91" i="24"/>
  <c r="G92" i="24"/>
  <c r="G88" i="24"/>
  <c r="G79" i="24"/>
  <c r="G80" i="24"/>
  <c r="G82" i="24"/>
  <c r="G78" i="24"/>
  <c r="H54" i="25"/>
  <c r="H63" i="25" s="1"/>
  <c r="H73" i="25" s="1"/>
  <c r="H54" i="24"/>
  <c r="H57" i="24"/>
  <c r="H58" i="24"/>
  <c r="H59" i="24"/>
  <c r="H60" i="24"/>
  <c r="H61" i="24"/>
  <c r="H62" i="24"/>
  <c r="H56" i="24"/>
  <c r="H63" i="24" l="1"/>
  <c r="H73" i="24" s="1"/>
  <c r="H78" i="26"/>
  <c r="H46" i="26"/>
  <c r="H50" i="26"/>
  <c r="H48" i="26"/>
  <c r="H45" i="26"/>
  <c r="H49" i="26"/>
  <c r="H47" i="26"/>
  <c r="N15" i="31"/>
  <c r="G124" i="26" s="1"/>
  <c r="G119" i="26"/>
  <c r="H42" i="26"/>
  <c r="H44" i="26"/>
  <c r="G119" i="24"/>
  <c r="G93" i="24"/>
  <c r="M15" i="31"/>
  <c r="G124" i="25" s="1"/>
  <c r="G119" i="25"/>
  <c r="H30" i="25"/>
  <c r="H32" i="25" s="1"/>
  <c r="G43" i="24"/>
  <c r="G44" i="24"/>
  <c r="G45" i="24"/>
  <c r="G46" i="24"/>
  <c r="G47" i="24"/>
  <c r="G48" i="24"/>
  <c r="G49" i="24"/>
  <c r="G50" i="24"/>
  <c r="G38" i="24"/>
  <c r="G37" i="24"/>
  <c r="G39" i="24" s="1"/>
  <c r="G71" i="24" s="1"/>
  <c r="G27" i="24"/>
  <c r="G28" i="24"/>
  <c r="G30" i="24"/>
  <c r="G31" i="24"/>
  <c r="G26" i="24"/>
  <c r="G20" i="24"/>
  <c r="H25" i="24" s="1"/>
  <c r="H4" i="24"/>
  <c r="G118" i="4"/>
  <c r="G120" i="4"/>
  <c r="G121" i="4"/>
  <c r="G122" i="4"/>
  <c r="G123" i="4"/>
  <c r="G117" i="4"/>
  <c r="H51" i="26" l="1"/>
  <c r="H26" i="24"/>
  <c r="H28" i="24" s="1"/>
  <c r="H38" i="25"/>
  <c r="H43" i="25" s="1"/>
  <c r="H37" i="25"/>
  <c r="H79" i="25" s="1"/>
  <c r="H72" i="26"/>
  <c r="H66" i="25"/>
  <c r="H67" i="25" s="1"/>
  <c r="H74" i="25" s="1"/>
  <c r="G32" i="24"/>
  <c r="H89" i="25"/>
  <c r="H90" i="25"/>
  <c r="H91" i="25"/>
  <c r="H88" i="25"/>
  <c r="H80" i="25"/>
  <c r="H127" i="25"/>
  <c r="H82" i="25"/>
  <c r="K10" i="31"/>
  <c r="G79" i="4"/>
  <c r="G80" i="4"/>
  <c r="G82" i="4"/>
  <c r="G78" i="4"/>
  <c r="H54" i="4"/>
  <c r="H57" i="4"/>
  <c r="H58" i="4"/>
  <c r="H59" i="4"/>
  <c r="H60" i="4"/>
  <c r="H61" i="4"/>
  <c r="H62" i="4"/>
  <c r="H56" i="4"/>
  <c r="G43" i="4"/>
  <c r="G44" i="4"/>
  <c r="G45" i="4"/>
  <c r="G46" i="4"/>
  <c r="G47" i="4"/>
  <c r="G48" i="4"/>
  <c r="G49" i="4"/>
  <c r="G50" i="4"/>
  <c r="G38" i="4"/>
  <c r="G37" i="4"/>
  <c r="H63" i="4" l="1"/>
  <c r="H73" i="4" s="1"/>
  <c r="H75" i="26"/>
  <c r="H128" i="26" s="1"/>
  <c r="G39" i="4"/>
  <c r="G71" i="4" s="1"/>
  <c r="K15" i="31"/>
  <c r="G124" i="4" s="1"/>
  <c r="G119" i="4"/>
  <c r="H39" i="25"/>
  <c r="H29" i="24"/>
  <c r="G29" i="4"/>
  <c r="G30" i="4"/>
  <c r="G28" i="4"/>
  <c r="G27" i="4"/>
  <c r="G26" i="4"/>
  <c r="G20" i="4"/>
  <c r="H25" i="4" s="1"/>
  <c r="G4" i="4"/>
  <c r="T9" i="31"/>
  <c r="S9" i="31"/>
  <c r="R9" i="31"/>
  <c r="Q9" i="31"/>
  <c r="Q13" i="31" s="1"/>
  <c r="N17" i="23"/>
  <c r="M17" i="23"/>
  <c r="L17" i="23"/>
  <c r="K17" i="23"/>
  <c r="B14" i="26"/>
  <c r="B14" i="25"/>
  <c r="B14" i="24"/>
  <c r="U25" i="33"/>
  <c r="U26" i="33"/>
  <c r="U27" i="33"/>
  <c r="U24" i="33"/>
  <c r="U21" i="33"/>
  <c r="U20" i="33"/>
  <c r="V14" i="33"/>
  <c r="V13" i="33"/>
  <c r="U8" i="33"/>
  <c r="U6" i="33"/>
  <c r="P25" i="33"/>
  <c r="P26" i="33"/>
  <c r="P27" i="33"/>
  <c r="P24" i="33"/>
  <c r="P21" i="33"/>
  <c r="P20" i="33"/>
  <c r="Q14" i="33"/>
  <c r="Q13" i="33"/>
  <c r="P8" i="33"/>
  <c r="P6" i="33"/>
  <c r="K27" i="33"/>
  <c r="K26" i="33"/>
  <c r="K25" i="33"/>
  <c r="K24" i="33"/>
  <c r="K21" i="33"/>
  <c r="K20" i="33"/>
  <c r="L14" i="33"/>
  <c r="L13" i="33"/>
  <c r="K8" i="33"/>
  <c r="K6" i="33"/>
  <c r="F25" i="33"/>
  <c r="F26" i="33"/>
  <c r="F27" i="33"/>
  <c r="F24" i="33"/>
  <c r="F21" i="33"/>
  <c r="F20" i="33"/>
  <c r="G14" i="33"/>
  <c r="G13" i="33"/>
  <c r="F8" i="33"/>
  <c r="F6" i="33"/>
  <c r="H26" i="4" l="1"/>
  <c r="H29" i="4" s="1"/>
  <c r="H78" i="25"/>
  <c r="H92" i="25"/>
  <c r="H93" i="25" s="1"/>
  <c r="H71" i="25"/>
  <c r="H45" i="25"/>
  <c r="H44" i="25"/>
  <c r="H49" i="25"/>
  <c r="H48" i="25"/>
  <c r="H50" i="25"/>
  <c r="H47" i="25"/>
  <c r="H46" i="25"/>
  <c r="H30" i="24"/>
  <c r="H32" i="24" s="1"/>
  <c r="K18" i="23"/>
  <c r="K21" i="23" s="1"/>
  <c r="G32" i="4"/>
  <c r="U23" i="33"/>
  <c r="U28" i="33" s="1"/>
  <c r="Q15" i="33"/>
  <c r="Q33" i="33" s="1"/>
  <c r="V15" i="33"/>
  <c r="V33" i="33" s="1"/>
  <c r="P23" i="33"/>
  <c r="P28" i="33" s="1"/>
  <c r="L15" i="33"/>
  <c r="L33" i="33" s="1"/>
  <c r="K23" i="33"/>
  <c r="K28" i="33" s="1"/>
  <c r="G15" i="33"/>
  <c r="G33" i="33" s="1"/>
  <c r="F23" i="33"/>
  <c r="F28" i="33" s="1"/>
  <c r="H28" i="4" l="1"/>
  <c r="H30" i="4" s="1"/>
  <c r="H32" i="4" s="1"/>
  <c r="H37" i="24"/>
  <c r="H38" i="24"/>
  <c r="H43" i="24" s="1"/>
  <c r="H66" i="24"/>
  <c r="H67" i="24" s="1"/>
  <c r="H74" i="24" s="1"/>
  <c r="H127" i="24"/>
  <c r="H88" i="24"/>
  <c r="H89" i="24"/>
  <c r="H90" i="24"/>
  <c r="H91" i="24"/>
  <c r="H82" i="24"/>
  <c r="H80" i="24"/>
  <c r="F53" i="7"/>
  <c r="F54" i="7"/>
  <c r="F55" i="7"/>
  <c r="F56" i="7"/>
  <c r="F57" i="7"/>
  <c r="F52" i="7"/>
  <c r="F39" i="7"/>
  <c r="F40" i="7"/>
  <c r="F38" i="7"/>
  <c r="F21" i="7"/>
  <c r="F22" i="7"/>
  <c r="F30" i="7"/>
  <c r="F20" i="7"/>
  <c r="F5" i="7"/>
  <c r="F6" i="7"/>
  <c r="F7" i="7"/>
  <c r="F10" i="7"/>
  <c r="F11" i="7"/>
  <c r="F12" i="7"/>
  <c r="F4" i="7"/>
  <c r="F29" i="28"/>
  <c r="F30" i="28" s="1"/>
  <c r="F31" i="28" s="1"/>
  <c r="F33" i="28" s="1"/>
  <c r="E16" i="10"/>
  <c r="F16" i="10"/>
  <c r="G16" i="10"/>
  <c r="D16" i="10"/>
  <c r="H38" i="4" l="1"/>
  <c r="H37" i="4"/>
  <c r="H39" i="24"/>
  <c r="H79" i="24"/>
  <c r="F58" i="7"/>
  <c r="F59" i="7" s="1"/>
  <c r="H109" i="26" s="1"/>
  <c r="F45" i="7"/>
  <c r="E7" i="2"/>
  <c r="U7" i="33"/>
  <c r="H92" i="24" l="1"/>
  <c r="H93" i="24" s="1"/>
  <c r="H71" i="24"/>
  <c r="H45" i="24"/>
  <c r="H78" i="24"/>
  <c r="H66" i="4"/>
  <c r="H67" i="4" s="1"/>
  <c r="H74" i="4" s="1"/>
  <c r="H88" i="4"/>
  <c r="H50" i="24"/>
  <c r="H46" i="24"/>
  <c r="H48" i="24"/>
  <c r="H47" i="24"/>
  <c r="H49" i="24"/>
  <c r="H44" i="24"/>
  <c r="H90" i="4"/>
  <c r="H89" i="4"/>
  <c r="H82" i="4"/>
  <c r="H91" i="4"/>
  <c r="H80" i="4"/>
  <c r="H79" i="4"/>
  <c r="H43" i="4"/>
  <c r="H127" i="4"/>
  <c r="H110" i="24"/>
  <c r="H114" i="26"/>
  <c r="H131" i="26" s="1"/>
  <c r="H110" i="4"/>
  <c r="F31" i="7"/>
  <c r="F32" i="7" s="1"/>
  <c r="H109" i="24" s="1"/>
  <c r="A53" i="7"/>
  <c r="A54" i="7" s="1"/>
  <c r="A55" i="7" s="1"/>
  <c r="A56" i="7" s="1"/>
  <c r="A57" i="7" s="1"/>
  <c r="F46" i="7"/>
  <c r="H109" i="25" s="1"/>
  <c r="A39" i="7"/>
  <c r="A40" i="7" s="1"/>
  <c r="A21" i="7"/>
  <c r="A22" i="7" s="1"/>
  <c r="A23" i="7" s="1"/>
  <c r="A24" i="7" s="1"/>
  <c r="A25" i="7" s="1"/>
  <c r="A26" i="7" s="1"/>
  <c r="F13" i="7"/>
  <c r="F14" i="7" s="1"/>
  <c r="H109" i="4" s="1"/>
  <c r="H114" i="25" l="1"/>
  <c r="H131" i="25" s="1"/>
  <c r="H39" i="4"/>
  <c r="D7" i="2"/>
  <c r="H114" i="24" l="1"/>
  <c r="H131" i="24" s="1"/>
  <c r="H92" i="4"/>
  <c r="H93" i="4" s="1"/>
  <c r="H71" i="4"/>
  <c r="H114" i="4"/>
  <c r="H131" i="4" s="1"/>
  <c r="H49" i="4"/>
  <c r="H47" i="4"/>
  <c r="H48" i="4"/>
  <c r="H46" i="4"/>
  <c r="H50" i="4"/>
  <c r="H44" i="4"/>
  <c r="H78" i="4"/>
  <c r="H45" i="4"/>
  <c r="V8" i="33"/>
  <c r="V6" i="33"/>
  <c r="V7" i="33" s="1"/>
  <c r="Q8" i="33"/>
  <c r="Q6" i="33"/>
  <c r="L8" i="33"/>
  <c r="L6" i="33"/>
  <c r="V9" i="33" l="1"/>
  <c r="V10" i="33" s="1"/>
  <c r="V32" i="33" s="1"/>
  <c r="A5" i="7"/>
  <c r="A6" i="7" s="1"/>
  <c r="A7" i="7" s="1"/>
  <c r="A8" i="7" s="1"/>
  <c r="V17" i="33" l="1"/>
  <c r="V20" i="33" s="1"/>
  <c r="V21" i="33" s="1"/>
  <c r="V22" i="33" s="1"/>
  <c r="G8" i="33"/>
  <c r="G6" i="33"/>
  <c r="V27" i="33" l="1"/>
  <c r="V26" i="33"/>
  <c r="V24" i="33"/>
  <c r="V25" i="33"/>
  <c r="V23" i="33" l="1"/>
  <c r="V28" i="33" s="1"/>
  <c r="V34" i="33" s="1"/>
  <c r="V35" i="33" s="1"/>
  <c r="G42" i="25" l="1"/>
  <c r="H23" i="23"/>
  <c r="G42" i="24"/>
  <c r="G51" i="24" s="1"/>
  <c r="G42" i="4"/>
  <c r="G51" i="4" s="1"/>
  <c r="H42" i="25" l="1"/>
  <c r="G51" i="25"/>
  <c r="H44" i="23"/>
  <c r="H45" i="23"/>
  <c r="H42" i="24"/>
  <c r="G72" i="25"/>
  <c r="G75" i="25" s="1"/>
  <c r="H33" i="23"/>
  <c r="G72" i="4"/>
  <c r="G75" i="4" s="1"/>
  <c r="F7" i="33"/>
  <c r="G7" i="33" s="1"/>
  <c r="G9" i="33" s="1"/>
  <c r="G10" i="33" s="1"/>
  <c r="H42" i="4"/>
  <c r="G72" i="24"/>
  <c r="G75" i="24" s="1"/>
  <c r="K7" i="33"/>
  <c r="L7" i="33" s="1"/>
  <c r="L9" i="33" s="1"/>
  <c r="L10" i="33" s="1"/>
  <c r="H51" i="24" l="1"/>
  <c r="H72" i="24" s="1"/>
  <c r="H75" i="24" s="1"/>
  <c r="H51" i="25"/>
  <c r="H72" i="25" s="1"/>
  <c r="H75" i="25" s="1"/>
  <c r="H128" i="25" s="1"/>
  <c r="H51" i="4"/>
  <c r="H72" i="4" s="1"/>
  <c r="H75" i="4" s="1"/>
  <c r="H128" i="4" s="1"/>
  <c r="G95" i="25"/>
  <c r="H95" i="25" s="1"/>
  <c r="G95" i="26"/>
  <c r="H95" i="26" s="1"/>
  <c r="H35" i="23"/>
  <c r="G81" i="26"/>
  <c r="G83" i="26" s="1"/>
  <c r="G94" i="25"/>
  <c r="G94" i="26"/>
  <c r="G95" i="4"/>
  <c r="H95" i="4" s="1"/>
  <c r="G95" i="24"/>
  <c r="H95" i="24" s="1"/>
  <c r="G94" i="4"/>
  <c r="H94" i="4" s="1"/>
  <c r="G94" i="24"/>
  <c r="P7" i="33"/>
  <c r="Q7" i="33" s="1"/>
  <c r="Q9" i="33" s="1"/>
  <c r="Q10" i="33" s="1"/>
  <c r="Q32" i="33" s="1"/>
  <c r="G81" i="24"/>
  <c r="G83" i="24" s="1"/>
  <c r="G81" i="25"/>
  <c r="G83" i="25" s="1"/>
  <c r="G81" i="4"/>
  <c r="G83" i="4" s="1"/>
  <c r="H46" i="23"/>
  <c r="G32" i="33"/>
  <c r="G17" i="33"/>
  <c r="L32" i="33"/>
  <c r="L17" i="33"/>
  <c r="H94" i="26" l="1"/>
  <c r="H96" i="26" s="1"/>
  <c r="H104" i="26" s="1"/>
  <c r="G96" i="26"/>
  <c r="H94" i="25"/>
  <c r="G96" i="25"/>
  <c r="H94" i="24"/>
  <c r="H96" i="24" s="1"/>
  <c r="H104" i="24" s="1"/>
  <c r="G96" i="24"/>
  <c r="H128" i="24"/>
  <c r="G96" i="4"/>
  <c r="H81" i="26"/>
  <c r="H83" i="26" s="1"/>
  <c r="H96" i="25"/>
  <c r="H104" i="25" s="1"/>
  <c r="H96" i="4"/>
  <c r="H104" i="4" s="1"/>
  <c r="Q17" i="33"/>
  <c r="Q20" i="33" s="1"/>
  <c r="H81" i="24"/>
  <c r="H83" i="24" s="1"/>
  <c r="H129" i="24" s="1"/>
  <c r="H81" i="4"/>
  <c r="H83" i="4" s="1"/>
  <c r="H81" i="25"/>
  <c r="L20" i="33"/>
  <c r="G20" i="33"/>
  <c r="H83" i="25" l="1"/>
  <c r="H129" i="25" s="1"/>
  <c r="H99" i="24"/>
  <c r="H100" i="24" s="1"/>
  <c r="H105" i="24" s="1"/>
  <c r="H106" i="24" s="1"/>
  <c r="H129" i="26"/>
  <c r="H99" i="26"/>
  <c r="H100" i="26" s="1"/>
  <c r="H129" i="4"/>
  <c r="H99" i="4"/>
  <c r="H100" i="4" s="1"/>
  <c r="H105" i="4" s="1"/>
  <c r="H106" i="4" s="1"/>
  <c r="Q21" i="33"/>
  <c r="Q24" i="33" s="1"/>
  <c r="L21" i="33"/>
  <c r="L22" i="33" s="1"/>
  <c r="G21" i="33"/>
  <c r="G25" i="33" s="1"/>
  <c r="H99" i="25" l="1"/>
  <c r="H100" i="25" s="1"/>
  <c r="H105" i="25" s="1"/>
  <c r="H106" i="25" s="1"/>
  <c r="H130" i="25" s="1"/>
  <c r="H132" i="25" s="1"/>
  <c r="H105" i="26"/>
  <c r="H106" i="26" s="1"/>
  <c r="H130" i="26" s="1"/>
  <c r="H132" i="26" s="1"/>
  <c r="H130" i="24"/>
  <c r="H132" i="24" s="1"/>
  <c r="H130" i="4"/>
  <c r="Q27" i="33"/>
  <c r="Q25" i="33"/>
  <c r="Q26" i="33"/>
  <c r="Q22" i="33"/>
  <c r="L26" i="33"/>
  <c r="L25" i="33"/>
  <c r="L27" i="33"/>
  <c r="G26" i="33"/>
  <c r="G24" i="33"/>
  <c r="G27" i="33"/>
  <c r="G22" i="33"/>
  <c r="L24" i="33"/>
  <c r="H117" i="25" l="1"/>
  <c r="H118" i="25" s="1"/>
  <c r="H123" i="25" s="1"/>
  <c r="H117" i="26"/>
  <c r="H132" i="4"/>
  <c r="H117" i="24"/>
  <c r="H118" i="24" s="1"/>
  <c r="Q23" i="33"/>
  <c r="Q28" i="33" s="1"/>
  <c r="Q34" i="33" s="1"/>
  <c r="Q35" i="33" s="1"/>
  <c r="L23" i="33"/>
  <c r="L28" i="33" s="1"/>
  <c r="L34" i="33" s="1"/>
  <c r="L35" i="33" s="1"/>
  <c r="G23" i="33"/>
  <c r="G28" i="33" s="1"/>
  <c r="G34" i="33" s="1"/>
  <c r="G35" i="33" s="1"/>
  <c r="H121" i="25" l="1"/>
  <c r="H122" i="25"/>
  <c r="H120" i="25"/>
  <c r="H118" i="26"/>
  <c r="H120" i="26" s="1"/>
  <c r="H117" i="4"/>
  <c r="H118" i="4" s="1"/>
  <c r="H120" i="4" s="1"/>
  <c r="H121" i="24"/>
  <c r="H122" i="24"/>
  <c r="H120" i="24"/>
  <c r="H123" i="24"/>
  <c r="H119" i="25" l="1"/>
  <c r="H124" i="25" s="1"/>
  <c r="H133" i="25" s="1"/>
  <c r="H134" i="25" s="1"/>
  <c r="F5" i="2" s="1"/>
  <c r="G5" i="2" s="1"/>
  <c r="I5" i="2" s="1"/>
  <c r="H122" i="26"/>
  <c r="H121" i="26"/>
  <c r="H123" i="26"/>
  <c r="H123" i="4"/>
  <c r="H121" i="4"/>
  <c r="H122" i="4"/>
  <c r="H119" i="24"/>
  <c r="H124" i="24" s="1"/>
  <c r="H133" i="24" s="1"/>
  <c r="H134" i="24" s="1"/>
  <c r="L39" i="33" s="1"/>
  <c r="L40" i="33" s="1"/>
  <c r="H119" i="26" l="1"/>
  <c r="H124" i="26" s="1"/>
  <c r="H133" i="26" s="1"/>
  <c r="H134" i="26" s="1"/>
  <c r="F6" i="2" s="1"/>
  <c r="G6" i="2" s="1"/>
  <c r="I6" i="2" s="1"/>
  <c r="H119" i="4"/>
  <c r="H124" i="4" s="1"/>
  <c r="H133" i="4" s="1"/>
  <c r="H134" i="4" s="1"/>
  <c r="L37" i="33"/>
  <c r="L38" i="33" s="1"/>
  <c r="F4" i="2"/>
  <c r="G4" i="2" s="1"/>
  <c r="I4" i="2" s="1"/>
  <c r="Q37" i="33"/>
  <c r="Q38" i="33" s="1"/>
  <c r="Q39" i="33"/>
  <c r="Q40" i="33" s="1"/>
  <c r="V37" i="33" l="1"/>
  <c r="V38" i="33" s="1"/>
  <c r="V39" i="33"/>
  <c r="V40" i="33" s="1"/>
  <c r="F3" i="2"/>
  <c r="G37" i="33"/>
  <c r="G38" i="33" s="1"/>
  <c r="G39" i="33"/>
  <c r="G40" i="33" s="1"/>
  <c r="G3" i="2" l="1"/>
  <c r="F7" i="2"/>
  <c r="G7" i="2" l="1"/>
  <c r="I3" i="2"/>
  <c r="I7" i="2" s="1"/>
</calcChain>
</file>

<file path=xl/sharedStrings.xml><?xml version="1.0" encoding="utf-8"?>
<sst xmlns="http://schemas.openxmlformats.org/spreadsheetml/2006/main" count="1548" uniqueCount="350">
  <si>
    <t>PLANILHA COM VALOR MENSAL E ANUAL</t>
  </si>
  <si>
    <t>ITEM</t>
  </si>
  <si>
    <t>DESCRIÇÃO</t>
  </si>
  <si>
    <t>Submódulo 2.1</t>
  </si>
  <si>
    <t>13º Salário, Férias  e Adicional de Férias</t>
  </si>
  <si>
    <t>%</t>
  </si>
  <si>
    <t>A</t>
  </si>
  <si>
    <t>13º Salário</t>
  </si>
  <si>
    <t>B</t>
  </si>
  <si>
    <t>Total</t>
  </si>
  <si>
    <t>Submódulo 2.2</t>
  </si>
  <si>
    <t>Encargos Previdenciários, FGTS e Outras Contribuições</t>
  </si>
  <si>
    <t>INSS</t>
  </si>
  <si>
    <t>C</t>
  </si>
  <si>
    <t>D</t>
  </si>
  <si>
    <t>SESI ou SESC</t>
  </si>
  <si>
    <t>E</t>
  </si>
  <si>
    <t>SENAI ou SENAC</t>
  </si>
  <si>
    <t>F</t>
  </si>
  <si>
    <t>SEBRAE</t>
  </si>
  <si>
    <t>G</t>
  </si>
  <si>
    <t>INCRA</t>
  </si>
  <si>
    <t>H</t>
  </si>
  <si>
    <t>FGTS</t>
  </si>
  <si>
    <t>MÓDULO 3</t>
  </si>
  <si>
    <t>PROVISÃO PARA RESCISÃO</t>
  </si>
  <si>
    <t>Aviso Prévio Indenizado</t>
  </si>
  <si>
    <t>Aviso Prévio Trabalhado</t>
  </si>
  <si>
    <t>Submódulo 4.1</t>
  </si>
  <si>
    <t>Substitutos nas Ausências Legais</t>
  </si>
  <si>
    <t>Substituto na cobertura de Ausências Legais</t>
  </si>
  <si>
    <t>Substituto na cobertura de Licença Paternidade</t>
  </si>
  <si>
    <t>Substituto na cobertura de Ausência por Acidente de Trabalho</t>
  </si>
  <si>
    <t>Substituto na cobertura de Afastamento Maternidade</t>
  </si>
  <si>
    <t>PLANILHA DE CUSTOS E FORMAÇÃO DE PREÇOS</t>
  </si>
  <si>
    <t>DISCRIMINAÇÃO DOS SERVIÇOS (DADOS REFERENTES À CONTRATAÇÃO)</t>
  </si>
  <si>
    <t>Data da apresentação da proposta:</t>
  </si>
  <si>
    <t>Município/UF</t>
  </si>
  <si>
    <t>Ano - Acordo, Convenção ou Sentença Normativa em dissídio Coletivo</t>
  </si>
  <si>
    <t>Número de meses de execução contratual</t>
  </si>
  <si>
    <t>IDENTIFICAÇÃO DO SERVIÇO</t>
  </si>
  <si>
    <t>Tipo de Serviço</t>
  </si>
  <si>
    <t>Unidade de Medida</t>
  </si>
  <si>
    <t>Quantidade total a contratar</t>
  </si>
  <si>
    <t>MÃO-DE-OBRA</t>
  </si>
  <si>
    <t>Dados Complementares para Composição dos Custos Referentes à Mão-de-obra</t>
  </si>
  <si>
    <t>Tipo de Serviço (mesmo serviço com características distintas)</t>
  </si>
  <si>
    <t>Classificação Brasileira de Ocupações (CBO)</t>
  </si>
  <si>
    <t>Salário Normativo da Categoria Profissional - Piso salarial</t>
  </si>
  <si>
    <t>Categoria Profissional (vinculada à execução contratual)</t>
  </si>
  <si>
    <t>Data base da categoria (dia/mês/ano)</t>
  </si>
  <si>
    <t>MÓDULO 1</t>
  </si>
  <si>
    <t>COMPOSIÇÃO DA REMUNERAÇÃO</t>
  </si>
  <si>
    <t>Valor (R$)</t>
  </si>
  <si>
    <t>Salário Base</t>
  </si>
  <si>
    <t>Adicional de Periculosidade</t>
  </si>
  <si>
    <t>Adicional de Insalubridade</t>
  </si>
  <si>
    <t>Adicional Noturno</t>
  </si>
  <si>
    <t>Adicional de Hora Noturna Reduzida</t>
  </si>
  <si>
    <t>Outros (especificar)</t>
  </si>
  <si>
    <t>MÓDULO 2</t>
  </si>
  <si>
    <t>ENCARGOS E BENEFÍCIOS ANUAIS, MENSAIS E DIÁRIOS</t>
  </si>
  <si>
    <t>VALOR (R$)</t>
  </si>
  <si>
    <t>Submódulo 2.3</t>
  </si>
  <si>
    <t>Benefícios Mensais e Diários</t>
  </si>
  <si>
    <t>Quadro-Resumo do Módulo 2 – Encargos e Benefícios Anuais, Mensais e Diários</t>
  </si>
  <si>
    <t>Encargos  e Benefícios  Anuais, Mensais e Diários</t>
  </si>
  <si>
    <t>2.1</t>
  </si>
  <si>
    <t>13º (décimo terceiro) Salário, Férias e Adicional de Férias</t>
  </si>
  <si>
    <t>2.2</t>
  </si>
  <si>
    <t>GPS, FGTS e outras contribuições</t>
  </si>
  <si>
    <t>2.3</t>
  </si>
  <si>
    <t>MÓDULO 4</t>
  </si>
  <si>
    <t>CUSTO DE REPOSIÇÃO DO PROFISSIONAL AUSENTE</t>
  </si>
  <si>
    <t>Submódulo 4.2</t>
  </si>
  <si>
    <t>Substituto na Intrajornada</t>
  </si>
  <si>
    <t>Substituto na cobertura de Intervalo para repouso ou alimentação</t>
  </si>
  <si>
    <t>Quadro-Resumo do Módulo 4 – Custo de Reposição do Profissional Ausente</t>
  </si>
  <si>
    <t>Custo de Reposição do Profissional Ausente</t>
  </si>
  <si>
    <t>4.1</t>
  </si>
  <si>
    <t>4.2</t>
  </si>
  <si>
    <t>MÓDULO 5</t>
  </si>
  <si>
    <t>INSUMOS DIVERSOS</t>
  </si>
  <si>
    <t>MÓDULO 6</t>
  </si>
  <si>
    <t>CUSTOS INDIRETOS, TRIBUTOS E LUCRO</t>
  </si>
  <si>
    <t>Custos Indiretos</t>
  </si>
  <si>
    <t>Lucro</t>
  </si>
  <si>
    <t>Tributos</t>
  </si>
  <si>
    <t>C.1.1 Tributos Federais (PIS)</t>
  </si>
  <si>
    <t>C.1.2 Tributos Federais (COFINS)</t>
  </si>
  <si>
    <t>C.3 Tributos Municipais (ISS)</t>
  </si>
  <si>
    <t>QUADRO-RESUMO DO CUSTO POR EMPREGADO</t>
  </si>
  <si>
    <t>Módulo 1</t>
  </si>
  <si>
    <t>Módulo 2</t>
  </si>
  <si>
    <t>Módulo 3</t>
  </si>
  <si>
    <t>Módulo 4</t>
  </si>
  <si>
    <t>Módulo 5</t>
  </si>
  <si>
    <t>Subtotal (A + B + C+ D + E)</t>
  </si>
  <si>
    <t>Módulo 6</t>
  </si>
  <si>
    <t>Valor Total por Empregado</t>
  </si>
  <si>
    <t>UNID.</t>
  </si>
  <si>
    <t>QUANT.ANUAL</t>
  </si>
  <si>
    <t>VALOR UNITÁRIO (R$)</t>
  </si>
  <si>
    <t>Unid.</t>
  </si>
  <si>
    <t>TOTAL</t>
  </si>
  <si>
    <t>VALOR ANUAL (R$)</t>
  </si>
  <si>
    <t>VALOR MENSAL (R$)</t>
  </si>
  <si>
    <t>QUANT. ANUAL</t>
  </si>
  <si>
    <t>VALOR TOTAL (R$)</t>
  </si>
  <si>
    <t>Plano de Saúde</t>
  </si>
  <si>
    <t>Plano Odontológico</t>
  </si>
  <si>
    <t>Outros</t>
  </si>
  <si>
    <t>Transporte</t>
  </si>
  <si>
    <t>Auxílio-Refeição/Alimentação</t>
  </si>
  <si>
    <t>Piso Salarial</t>
  </si>
  <si>
    <t>Tarifa de Ônibus</t>
  </si>
  <si>
    <t>C.1.3 Tributos Tributos Federais CPRB)</t>
  </si>
  <si>
    <t xml:space="preserve">QUANTIDADE                   DE POSTOS </t>
  </si>
  <si>
    <t>VALOR DO POSTO (R$)</t>
  </si>
  <si>
    <t>VALOR GLOBAL (R$)</t>
  </si>
  <si>
    <t>PRAZO DE VIGÊNCIA</t>
  </si>
  <si>
    <t>Salário Educação</t>
  </si>
  <si>
    <t>Risco Ambiental de Trabalho (SAT x FAP)</t>
  </si>
  <si>
    <t>I</t>
  </si>
  <si>
    <t>Multa do FGTS  sobre o API e APT</t>
  </si>
  <si>
    <t>Incidência do FGTS sobre API</t>
  </si>
  <si>
    <t>Incidência de GPS, FGTS e outras contribuições sobre o APT</t>
  </si>
  <si>
    <t xml:space="preserve">Nº Processo: </t>
  </si>
  <si>
    <t>Licitação:</t>
  </si>
  <si>
    <t>Posto</t>
  </si>
  <si>
    <t>TOTAL PARA 12 MESES</t>
  </si>
  <si>
    <t xml:space="preserve">   Ponto eletrônico</t>
  </si>
  <si>
    <t xml:space="preserve">   Outros</t>
  </si>
  <si>
    <t xml:space="preserve">TOTAL DE POSTOS </t>
  </si>
  <si>
    <t>QUANTIDADE  DE EMPREGADOS</t>
  </si>
  <si>
    <t>CBO</t>
  </si>
  <si>
    <t>Férias e adicional de férias</t>
  </si>
  <si>
    <t>Seguro de vida</t>
  </si>
  <si>
    <t>A1</t>
  </si>
  <si>
    <t xml:space="preserve">  INSS - EMPRESA DESONERADA (LEI Nº 14.973, DE 16 DE SETEMBRO DE 2024)</t>
  </si>
  <si>
    <t>A.1</t>
  </si>
  <si>
    <t xml:space="preserve">   INSS - Empresa Desonerada - Lei nº 14.973/2024</t>
  </si>
  <si>
    <t>Salário Mínimo</t>
  </si>
  <si>
    <t>Desconto</t>
  </si>
  <si>
    <t>Percentual</t>
  </si>
  <si>
    <t>VA</t>
  </si>
  <si>
    <t>VT</t>
  </si>
  <si>
    <t>Número de Dias</t>
  </si>
  <si>
    <t>Substituto na cobertura de Férias (Décimo Terceiro Salário do Substituto)</t>
  </si>
  <si>
    <t>Item</t>
  </si>
  <si>
    <t>Detalhamento da rubrica na PCFP</t>
  </si>
  <si>
    <t>Substituição do Titular em férias (Módulo 1)</t>
  </si>
  <si>
    <t>Incidência do Submódulo 2.2 sobre o custo de reposição</t>
  </si>
  <si>
    <t>Férias (Submódulo 2.1 ou Submódulo 4.1)</t>
  </si>
  <si>
    <t>Total do Custo Mensal de Reposição do Profissional Ausente em Férias</t>
  </si>
  <si>
    <t>Total do Custo Anual de Reposição do Profissional Ausente em Férias</t>
  </si>
  <si>
    <t xml:space="preserve">Benefícios Mensais e Diários </t>
  </si>
  <si>
    <t>alimentação</t>
  </si>
  <si>
    <t>Total de Benefícios Mensais e Diários</t>
  </si>
  <si>
    <t>Base de Cálculo Módulo 6</t>
  </si>
  <si>
    <t>Custos Indireto, Lucro e Tributos</t>
  </si>
  <si>
    <t>PIS</t>
  </si>
  <si>
    <t>C.2</t>
  </si>
  <si>
    <t>Cofins</t>
  </si>
  <si>
    <t>C.3</t>
  </si>
  <si>
    <t>ISS</t>
  </si>
  <si>
    <t>Total BDI</t>
  </si>
  <si>
    <t>Resumo do Custo por empregado Substituto do Titular em Férias</t>
  </si>
  <si>
    <t>Mão de obra vinculada à execução contratual (Valor por Empregado)</t>
  </si>
  <si>
    <t>Total de Custos Indiretos, Lucro e Tributos</t>
  </si>
  <si>
    <t>Valor Total do empregado Substituto do Titular em Férias</t>
  </si>
  <si>
    <t>Valor total anual por empregado</t>
  </si>
  <si>
    <t>Valor total anual por empregado com desconto da substituição</t>
  </si>
  <si>
    <t>Valor Mensal por empregado</t>
  </si>
  <si>
    <t xml:space="preserve">Percentual de Desconto </t>
  </si>
  <si>
    <t>C.4</t>
  </si>
  <si>
    <t>CPRB</t>
  </si>
  <si>
    <t>PLANILHA AUXILIAR DO CUSTO ANUAL DO PROFISSIONAL SUBSTITUTO DO TITULAR EM FÉRIAS                                                                                                                                           CARGO - SECRETÁRIA EXECUTIVA</t>
  </si>
  <si>
    <t>C.1</t>
  </si>
  <si>
    <t>PLANILHA AUXILIAR DO CUSTO ANUAL DO PROFISSIONAL SUBSTITUTO DO TITULAR EM FÉRIAS                                                                                                            CARGO - TÉCNICO EM SECRETARIADO</t>
  </si>
  <si>
    <t>PLANILHA AUXILIAR DO CUSTO ANUAL DO PROFISSIONAL SUBSTITUTO DO TITULAR EM FÉRIAS                                                                                                                                           CARGO - SECRETÁRIA BILÍNGUE</t>
  </si>
  <si>
    <t>PLANILHA AUXILIAR DO CUSTO ANUAL DO PROFISSIONAL SUBSTITUTO DO TITULAR EM FÉRIAS                                                                                                                                           CARGO - RECEPCIONISTA DE PORTARIA</t>
  </si>
  <si>
    <t>COPEIRO</t>
  </si>
  <si>
    <t>Hora Extraordinária</t>
  </si>
  <si>
    <t>Horas Extraordinárias</t>
  </si>
  <si>
    <t>CPP</t>
  </si>
  <si>
    <t>Meses</t>
  </si>
  <si>
    <t>Média Ponderada</t>
  </si>
  <si>
    <t>INSS  Desonerada</t>
  </si>
  <si>
    <t>Número de HE</t>
  </si>
  <si>
    <t xml:space="preserve">   Subtotal </t>
  </si>
  <si>
    <t>Auxílio Funeral</t>
  </si>
  <si>
    <t>Substituto na cobertura de Férias (Férias, adicional de férias e décimo terceiro salário do substituto)</t>
  </si>
  <si>
    <t xml:space="preserve">   Incidência Submódulo 2.2 sobre férias, 1/3 de férias e 13º salário do substituto</t>
  </si>
  <si>
    <t xml:space="preserve">   Incidência Submódulo 2.2 sobre férias, 1/3 de férias e 13º salário do substituto - EMPRESA DESONERADA</t>
  </si>
  <si>
    <t xml:space="preserve">   Incidência Submódulo 2.2 sobre férias, 1/3 de férias e 13º do substituto - EMPRESA DESONERADA</t>
  </si>
  <si>
    <t>Submódulo 2.4</t>
  </si>
  <si>
    <t>Substituto na Intrajornada Indenizado</t>
  </si>
  <si>
    <t>Intervalo Intrajornada para repouso ou alimentação</t>
  </si>
  <si>
    <t>Intervalo Intrajoranada Suprimido</t>
  </si>
  <si>
    <t>2.4</t>
  </si>
  <si>
    <t xml:space="preserve">  Intervalo Intrajornada para repouso ou alimentação</t>
  </si>
  <si>
    <t xml:space="preserve">Substituto na Intrajornada </t>
  </si>
  <si>
    <t xml:space="preserve"> Intervalo Intrajornada </t>
  </si>
  <si>
    <t xml:space="preserve">  Módulo 6</t>
  </si>
  <si>
    <t xml:space="preserve">   Equipamentos</t>
  </si>
  <si>
    <t xml:space="preserve">   Materiais de Consumo</t>
  </si>
  <si>
    <t xml:space="preserve">   Uniforme</t>
  </si>
  <si>
    <t xml:space="preserve">   Substituto nas Ausências Legais</t>
  </si>
  <si>
    <t xml:space="preserve">   Substituto na Intrajornada</t>
  </si>
  <si>
    <t>Optante pela Desoneração da folha de pagamento</t>
  </si>
  <si>
    <t>Não</t>
  </si>
  <si>
    <t>Incidência Submódulo 2.2  sobre o APT</t>
  </si>
  <si>
    <t xml:space="preserve">   Substituto na cobertura de Intervalo para repouso ou alimentação</t>
  </si>
  <si>
    <t xml:space="preserve">   Intervalo Intrajornada Indenizado</t>
  </si>
  <si>
    <t xml:space="preserve">   Transporte</t>
  </si>
  <si>
    <t xml:space="preserve">   Auxílio-Refeição/Alimentação</t>
  </si>
  <si>
    <t xml:space="preserve">   Plano de Saúde</t>
  </si>
  <si>
    <t xml:space="preserve">   Plano Odontológico</t>
  </si>
  <si>
    <t xml:space="preserve">   Seguro de vida</t>
  </si>
  <si>
    <t>Incidência Submódulo 2.2 sobre o APT</t>
  </si>
  <si>
    <t xml:space="preserve">   Seguro de Vida</t>
  </si>
  <si>
    <t xml:space="preserve">   Auxílio Funeral</t>
  </si>
  <si>
    <t xml:space="preserve">   INSS - EMPRESA DESONERADA (LEI Nº 14.973, DE 16 DE SETEMBRO DE 2024)</t>
  </si>
  <si>
    <t xml:space="preserve">   Composição da Remuneração</t>
  </si>
  <si>
    <t xml:space="preserve">   Encargos e Benefícios Anuais, Mensais e Diários</t>
  </si>
  <si>
    <t xml:space="preserve">   Provisão para Rescisão</t>
  </si>
  <si>
    <t xml:space="preserve">   Custo de Reposição do Profissional Ausente</t>
  </si>
  <si>
    <t xml:space="preserve">   Insumos Diversos</t>
  </si>
  <si>
    <t xml:space="preserve">   Custos Indiretos, Tributos e Lucro</t>
  </si>
  <si>
    <t>5134-25</t>
  </si>
  <si>
    <t>GARÇOM</t>
  </si>
  <si>
    <t>SERVENTE DE LIMPEZA</t>
  </si>
  <si>
    <t>Carregador</t>
  </si>
  <si>
    <t>Sevente de Limpeza</t>
  </si>
  <si>
    <t>CARREGADOR</t>
  </si>
  <si>
    <t>SERV. DE LIMPEZA</t>
  </si>
  <si>
    <t>Avental de proteção - dupla face; medida mínimas: 120 (A) X 70 (L) cm; impermeável a líquidos não corrosivos; com tiras de ajuste do mesmo material; certificado de aprovação do Ministério do Trabalho e Emprego</t>
  </si>
  <si>
    <t>Luva de segurança - Confeccionada em látex natural; revestida internamente com flocos de algodão; palma antiderrapante; cano médio; cor a combinar; antialérgica</t>
  </si>
  <si>
    <t>Bota - Calçado de segurança com cano curto; confeccionado em policloreto de vinilo (PVC); numeração a definir; Certificado de aprovação pelo Ministério competente</t>
  </si>
  <si>
    <t>Máscara descartável EL PFF-1 - Aplicação: filtrar partículas finas, fumos e névoas tóxicas. penetração máxima através de filtro de 6%. Microfibras sintéticas combinadas em camadas e tratadas eletrostaticamente para reter apenas os materiais particulados presentes no ambiente</t>
  </si>
  <si>
    <t>Óculos de segurança - com lentes de policarbonato de alta transparência; sistema duplo anti risco; anti embaçante; hastes com sistema de regulagem e flexiveis</t>
  </si>
  <si>
    <t>Par</t>
  </si>
  <si>
    <t>Capacete de Segurança</t>
  </si>
  <si>
    <t>Cinta modeladora com Suspensório</t>
  </si>
  <si>
    <t>Protetor auricular</t>
  </si>
  <si>
    <t>Óculos de Segurança</t>
  </si>
  <si>
    <t>Avental de alta resistência</t>
  </si>
  <si>
    <t>Crachá de identificação - confeccionado em PVC  Visualização na vertical; Deverá acompanhar porta crachá em plástico com cordão em poliéster, medindo 80cm de comprimento x 10mm de largura, com presilha para prender o porta crachá</t>
  </si>
  <si>
    <t>Máscara</t>
  </si>
  <si>
    <t>Luva tricotado em fios de poliéster e poliamida, revesdas com borracha natural na
palma com reforço entre polegar e indicador</t>
  </si>
  <si>
    <t>UNIFORME E EPI - SERVENTE DE LIMPEZA</t>
  </si>
  <si>
    <t>UNIFORME E EPI - CARREGADOR</t>
  </si>
  <si>
    <t>UNIFORME E EPI - COPEIRO</t>
  </si>
  <si>
    <t>UNIFORME E EPI - GARÇOM</t>
  </si>
  <si>
    <t>Uniforme - confeccionado 100% em algodão composto de camisa e calça contendo logotipo da empresa</t>
  </si>
  <si>
    <t>Sapato - Calçado de segurança tipo bota, em couro, compatível com a função</t>
  </si>
  <si>
    <t>Meias de algodão</t>
  </si>
  <si>
    <t>Avental em tecido na mesma cor da calça</t>
  </si>
  <si>
    <t>Rede em filó para uso sobre coque como prendedor de cabelos, com laço, na cor preta</t>
  </si>
  <si>
    <t>Meia em algodão</t>
  </si>
  <si>
    <t>Luvas para copeiro</t>
  </si>
  <si>
    <t>Gravata ou gravata borboleta preta</t>
  </si>
  <si>
    <t>Avental (curto ou longo)</t>
  </si>
  <si>
    <t>Sapato - Calçado em couro, na cor preta, cano curto, numeração a combinar</t>
  </si>
  <si>
    <t>Sapato - Calçado em couro, cano curto, numeração a combinar</t>
  </si>
  <si>
    <t>Sapato - Calçado cano curto; numeração a combinar</t>
  </si>
  <si>
    <t>Uniforme - confeccionado 100% em algodão composto de camisa social branca, calça social preta e blazer preto</t>
  </si>
  <si>
    <t>Meia de algodão</t>
  </si>
  <si>
    <t>RATEIO ENTRE OS SERVENTES DE LIMPEZA</t>
  </si>
  <si>
    <t>RATEIO ENTRE OS CARREGADORES</t>
  </si>
  <si>
    <t>Rolão</t>
  </si>
  <si>
    <t>Fardo</t>
  </si>
  <si>
    <t>Sabonete Líquido Erva Doce 800 ml</t>
  </si>
  <si>
    <t>Desinfetante 5 Litros</t>
  </si>
  <si>
    <t>Pano de Chão</t>
  </si>
  <si>
    <t>Flanela branca</t>
  </si>
  <si>
    <t>Alcool 70%</t>
  </si>
  <si>
    <t>Limpador de vidros 5 litros</t>
  </si>
  <si>
    <t>Kit Limpador de vidros 5 litros</t>
  </si>
  <si>
    <t>Limpador Multiuso 5 litros</t>
  </si>
  <si>
    <t>Aromatizador de ambiente</t>
  </si>
  <si>
    <t>Cloro 5 litros</t>
  </si>
  <si>
    <t>Balde de plástico 5 litros para limpeza em geral</t>
  </si>
  <si>
    <t>Carrinho para material de limpeza</t>
  </si>
  <si>
    <t>Espanador de pó</t>
  </si>
  <si>
    <t>Rodo grande</t>
  </si>
  <si>
    <t>Vassoura</t>
  </si>
  <si>
    <t>Vassoura para limpar vaso sanitário</t>
  </si>
  <si>
    <t>Açúcar cristalizado pacote 5 kg</t>
  </si>
  <si>
    <t>Pacote</t>
  </si>
  <si>
    <t>Café tipo superior torrado e moído, escala sensorial mínimo de 6,5 pontos pacote de 500 G</t>
  </si>
  <si>
    <t>Chá diversos sabores (caixa c/ 10 sachês)</t>
  </si>
  <si>
    <t>Adoçante 100 ml</t>
  </si>
  <si>
    <t>Copo descartável para café 50 ml – 100 unidades</t>
  </si>
  <si>
    <t>Copo descartável para água 200 ml – 100 unidades</t>
  </si>
  <si>
    <t>Mexedor GRANDE de plástico transparente, descartável, Pacote contendo 250 unidades</t>
  </si>
  <si>
    <t>Coador de flanela nº 8</t>
  </si>
  <si>
    <t>Detergente 500 ml</t>
  </si>
  <si>
    <t>Esponja de aço – pacote com 08 unidades</t>
  </si>
  <si>
    <t>Esponja de espuma/fibra vegetal – dupla face</t>
  </si>
  <si>
    <t>Sabão em barra – pacote com 05</t>
  </si>
  <si>
    <t>Água mineral – galão de 20 litros</t>
  </si>
  <si>
    <t>Pano de prato</t>
  </si>
  <si>
    <t>Pano de pia</t>
  </si>
  <si>
    <t>Limpador Multiuso 500 ml</t>
  </si>
  <si>
    <t>Água sanitária 1 litro</t>
  </si>
  <si>
    <t>Pano de chão</t>
  </si>
  <si>
    <t>Cafeteira elétrica – 10 litros</t>
  </si>
  <si>
    <t>Carrinho distribuidor de café e água de 02 a 03 bandejas com 02 rodízios fixos e 02 giratório</t>
  </si>
  <si>
    <t>Carrinho de Carga 800 kg</t>
  </si>
  <si>
    <t>Carrinho de Carga 150 kg</t>
  </si>
  <si>
    <t>Papel Higiênico folha dupla 250 m CX C/ 8</t>
  </si>
  <si>
    <t>Papel Toalha Interfolhado 22x23 cm com c/ 24</t>
  </si>
  <si>
    <t>Saco de Lixo 15 litros c 100 un.</t>
  </si>
  <si>
    <t xml:space="preserve">Colher de pau com no mínimo 42cm de comprimento </t>
  </si>
  <si>
    <t>Álcool limpeza – 1 litro</t>
  </si>
  <si>
    <t xml:space="preserve">Bandeija de aço inox </t>
  </si>
  <si>
    <t xml:space="preserve">Bule de Aço Inox </t>
  </si>
  <si>
    <t xml:space="preserve">Jarra de Aço Inox </t>
  </si>
  <si>
    <t>Lata de Mantimentos Aço Inox - 5kg</t>
  </si>
  <si>
    <t>Açucareiro Aço Inox</t>
  </si>
  <si>
    <t>Copo de vidro - 300 ML</t>
  </si>
  <si>
    <t>Porta copos em inox</t>
  </si>
  <si>
    <t>Xicara para café com pires em porcelana</t>
  </si>
  <si>
    <t>Xicara para chá com pires em porcelana</t>
  </si>
  <si>
    <t>Colher de café em inox</t>
  </si>
  <si>
    <t>Colher de chá em inox</t>
  </si>
  <si>
    <t>Garrafa térmica - 1 litro</t>
  </si>
  <si>
    <t>Prato em porcelana para refeições</t>
  </si>
  <si>
    <t>Prato em porcelana para sobremesa</t>
  </si>
  <si>
    <t>Jogo de talheres para refeição</t>
  </si>
  <si>
    <t>Escorredor de pratos</t>
  </si>
  <si>
    <t xml:space="preserve">Porta esponja </t>
  </si>
  <si>
    <t>Lixeira copo descartavel 50 ml e 200 ml</t>
  </si>
  <si>
    <t xml:space="preserve">Porta copo descartavel 50 ml </t>
  </si>
  <si>
    <t>Porta copo descartavel 200 ml</t>
  </si>
  <si>
    <t>RATEIO ENTRE A COPEIRAGEM</t>
  </si>
  <si>
    <t>MATERIAL DE CONSUMO E EQUIPAMENTOS</t>
  </si>
  <si>
    <t>Saco de Lixo 100 litros 100 un.</t>
  </si>
  <si>
    <t>5143-20</t>
  </si>
  <si>
    <t>5134-05</t>
  </si>
  <si>
    <t>7832-10</t>
  </si>
  <si>
    <t xml:space="preserve">Luva </t>
  </si>
  <si>
    <t>VALOR MENSAL</t>
  </si>
  <si>
    <t>EQUIPAMENTOS</t>
  </si>
  <si>
    <t>DEPRECIAÇÃO (MESES)</t>
  </si>
  <si>
    <t>RATEIO ENTRE OS POSTOS DE LIMPEZA</t>
  </si>
  <si>
    <t>RATEIO ENTRE OS POSTOS DE CARREGADOR</t>
  </si>
  <si>
    <t>RATEIO ENTRE OS POSTOS DE COPEIRAGEM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</si>
</sst>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&quot;R$&quot;\ * #,##0.00_-;\-&quot;R$&quot;\ * #,##0.00_-;_-&quot;R$&quot;\ * &quot;-&quot;??_-;_-@_-"/>
    <numFmt numFmtId="165" formatCode="[$R$-416]#,##0.00"/>
    <numFmt numFmtId="166" formatCode="&quot; R$ &quot;#,##0.00&quot; &quot;;&quot; R$ (&quot;#,##0.00&quot;)&quot;;&quot; R$ -&quot;#&quot; &quot;;@&quot; &quot;"/>
    <numFmt numFmtId="167" formatCode="d/m/yy"/>
    <numFmt numFmtId="168" formatCode="#,##0.00&quot; &quot;;&quot;(&quot;#,##0.00&quot;)&quot;;&quot;-&quot;#&quot; &quot;;@&quot; &quot;"/>
    <numFmt numFmtId="169" formatCode="#,##0_ ;\-#,##0\ "/>
    <numFmt numFmtId="170" formatCode="_-[$R$-416]\ * #,##0.00_-;\-[$R$-416]\ * #,##0.00_-;_-[$R$-416]\ * &quot;-&quot;??_-;_-@_-"/>
    <numFmt numFmtId="171" formatCode="&quot;R$&quot;\ #,##0.00"/>
  </numFmts>
  <fonts count="23">
    <font>
      <sz val="10"/>
      <color rgb="FF000000"/>
      <name val="Arial1"/>
    </font>
    <font>
      <sz val="10"/>
      <color rgb="FF000000"/>
      <name val="Arial1"/>
    </font>
    <font>
      <sz val="10"/>
      <color rgb="FFFFFFFF"/>
      <name val="Mangal"/>
      <family val="1"/>
    </font>
    <font>
      <sz val="10"/>
      <color rgb="FF000000"/>
      <name val="Mangal"/>
      <family val="1"/>
    </font>
    <font>
      <sz val="10"/>
      <color rgb="FFCC0000"/>
      <name val="Mangal"/>
      <family val="1"/>
    </font>
    <font>
      <sz val="11"/>
      <color rgb="FF333333"/>
      <name val="Calibri"/>
      <family val="2"/>
    </font>
    <font>
      <sz val="10"/>
      <color rgb="FF808080"/>
      <name val="Mangal"/>
      <family val="1"/>
    </font>
    <font>
      <sz val="10"/>
      <color rgb="FF006600"/>
      <name val="Mangal"/>
      <family val="1"/>
    </font>
    <font>
      <u/>
      <sz val="10"/>
      <color rgb="FF0000EE"/>
      <name val="Mangal"/>
      <family val="1"/>
    </font>
    <font>
      <sz val="12"/>
      <color rgb="FF000000"/>
      <name val="Times New Roman"/>
      <family val="1"/>
    </font>
    <font>
      <sz val="10"/>
      <color rgb="FF996600"/>
      <name val="Mangal"/>
      <family val="1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0"/>
      <color rgb="FF333333"/>
      <name val="Mangal"/>
      <family val="1"/>
    </font>
    <font>
      <sz val="11"/>
      <color rgb="FF000000"/>
      <name val="Tahoma"/>
      <family val="2"/>
    </font>
    <font>
      <b/>
      <sz val="11"/>
      <color rgb="FF000000"/>
      <name val="Tahoma"/>
      <family val="2"/>
    </font>
    <font>
      <b/>
      <sz val="11"/>
      <color theme="1"/>
      <name val="Calibri"/>
      <family val="2"/>
      <scheme val="minor"/>
    </font>
    <font>
      <b/>
      <sz val="10"/>
      <color rgb="FF000000"/>
      <name val="Arial1"/>
    </font>
    <font>
      <b/>
      <sz val="11"/>
      <color rgb="FF000000"/>
      <name val="Calibri"/>
      <family val="2"/>
    </font>
    <font>
      <sz val="11"/>
      <name val="Tahoma"/>
      <family val="2"/>
    </font>
    <font>
      <sz val="12"/>
      <color rgb="FF000000"/>
      <name val="Calibri"/>
      <family val="2"/>
    </font>
    <font>
      <sz val="11"/>
      <color rgb="FFFF0000"/>
      <name val="Tahoma"/>
      <family val="2"/>
    </font>
    <font>
      <sz val="10"/>
      <name val="Arial1"/>
    </font>
  </fonts>
  <fills count="2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B2B2B2"/>
        <bgColor rgb="FFB2B2B2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</borders>
  <cellStyleXfs count="29">
    <xf numFmtId="0" fontId="0" fillId="0" borderId="0"/>
    <xf numFmtId="168" fontId="1" fillId="0" borderId="0" applyFont="0" applyBorder="0" applyProtection="0"/>
    <xf numFmtId="166" fontId="9" fillId="0" borderId="0" applyBorder="0" applyProtection="0"/>
    <xf numFmtId="9" fontId="1" fillId="0" borderId="0" applyFont="0" applyFill="0" applyBorder="0" applyAlignment="0" applyProtection="0"/>
    <xf numFmtId="0" fontId="2" fillId="2" borderId="0" applyNumberFormat="0" applyBorder="0" applyProtection="0"/>
    <xf numFmtId="0" fontId="2" fillId="3" borderId="0" applyNumberFormat="0" applyBorder="0" applyProtection="0"/>
    <xf numFmtId="0" fontId="3" fillId="4" borderId="0" applyNumberFormat="0" applyBorder="0" applyProtection="0"/>
    <xf numFmtId="0" fontId="3" fillId="0" borderId="0" applyNumberFormat="0" applyBorder="0" applyProtection="0"/>
    <xf numFmtId="0" fontId="4" fillId="5" borderId="0" applyNumberFormat="0" applyBorder="0" applyProtection="0"/>
    <xf numFmtId="0" fontId="2" fillId="6" borderId="0" applyNumberFormat="0" applyBorder="0" applyProtection="0"/>
    <xf numFmtId="166" fontId="5" fillId="0" borderId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8" fillId="0" borderId="0" applyNumberFormat="0" applyBorder="0" applyProtection="0"/>
    <xf numFmtId="0" fontId="10" fillId="8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2" fillId="0" borderId="0" applyNumberFormat="0" applyBorder="0" applyProtection="0"/>
    <xf numFmtId="0" fontId="12" fillId="0" borderId="0" applyNumberFormat="0" applyBorder="0" applyProtection="0"/>
    <xf numFmtId="0" fontId="11" fillId="0" borderId="0" applyNumberFormat="0" applyBorder="0" applyProtection="0"/>
    <xf numFmtId="0" fontId="11" fillId="0" borderId="0" applyNumberFormat="0" applyBorder="0" applyProtection="0"/>
    <xf numFmtId="0" fontId="13" fillId="8" borderId="1" applyNumberFormat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4" fillId="0" borderId="0" applyNumberFormat="0" applyBorder="0" applyProtection="0"/>
    <xf numFmtId="0" fontId="1" fillId="0" borderId="0"/>
  </cellStyleXfs>
  <cellXfs count="219">
    <xf numFmtId="0" fontId="0" fillId="0" borderId="0" xfId="0"/>
    <xf numFmtId="0" fontId="14" fillId="0" borderId="2" xfId="0" applyFont="1" applyBorder="1" applyAlignment="1">
      <alignment vertical="center"/>
    </xf>
    <xf numFmtId="0" fontId="14" fillId="0" borderId="0" xfId="0" applyFont="1"/>
    <xf numFmtId="4" fontId="14" fillId="0" borderId="0" xfId="0" applyNumberFormat="1" applyFont="1"/>
    <xf numFmtId="0" fontId="14" fillId="0" borderId="2" xfId="0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/>
    </xf>
    <xf numFmtId="0" fontId="15" fillId="9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 indent="1"/>
    </xf>
    <xf numFmtId="10" fontId="14" fillId="0" borderId="2" xfId="0" applyNumberFormat="1" applyFont="1" applyBorder="1" applyAlignment="1">
      <alignment horizontal="center" vertical="center" wrapText="1"/>
    </xf>
    <xf numFmtId="10" fontId="15" fillId="9" borderId="2" xfId="0" applyNumberFormat="1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5" fillId="0" borderId="2" xfId="0" applyFont="1" applyBorder="1" applyAlignment="1">
      <alignment horizontal="center" vertical="center" wrapText="1"/>
    </xf>
    <xf numFmtId="166" fontId="15" fillId="9" borderId="6" xfId="0" applyNumberFormat="1" applyFont="1" applyFill="1" applyBorder="1" applyAlignment="1">
      <alignment vertical="center" wrapText="1"/>
    </xf>
    <xf numFmtId="0" fontId="14" fillId="0" borderId="0" xfId="0" applyFont="1" applyAlignment="1">
      <alignment vertical="center" wrapText="1"/>
    </xf>
    <xf numFmtId="10" fontId="15" fillId="9" borderId="6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10" fontId="14" fillId="0" borderId="0" xfId="3" applyNumberFormat="1" applyFont="1"/>
    <xf numFmtId="0" fontId="14" fillId="0" borderId="0" xfId="0" applyFont="1" applyAlignment="1">
      <alignment wrapText="1"/>
    </xf>
    <xf numFmtId="10" fontId="14" fillId="0" borderId="6" xfId="0" applyNumberFormat="1" applyFont="1" applyBorder="1" applyAlignment="1">
      <alignment horizontal="center" vertical="center" wrapText="1"/>
    </xf>
    <xf numFmtId="1" fontId="14" fillId="0" borderId="7" xfId="0" applyNumberFormat="1" applyFont="1" applyBorder="1" applyAlignment="1">
      <alignment horizontal="center" vertical="center" shrinkToFit="1"/>
    </xf>
    <xf numFmtId="165" fontId="14" fillId="0" borderId="0" xfId="0" applyNumberFormat="1" applyFont="1"/>
    <xf numFmtId="0" fontId="14" fillId="0" borderId="7" xfId="0" applyFont="1" applyBorder="1" applyAlignment="1">
      <alignment horizontal="left" vertical="center" wrapText="1"/>
    </xf>
    <xf numFmtId="10" fontId="14" fillId="0" borderId="0" xfId="3" applyNumberFormat="1" applyFont="1" applyAlignment="1">
      <alignment horizontal="center" vertical="center"/>
    </xf>
    <xf numFmtId="10" fontId="14" fillId="10" borderId="2" xfId="0" applyNumberFormat="1" applyFont="1" applyFill="1" applyBorder="1" applyAlignment="1">
      <alignment horizontal="center" vertical="center" wrapText="1"/>
    </xf>
    <xf numFmtId="10" fontId="14" fillId="10" borderId="4" xfId="3" applyNumberFormat="1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center"/>
    </xf>
    <xf numFmtId="10" fontId="15" fillId="0" borderId="2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2" xfId="0" applyFont="1" applyBorder="1"/>
    <xf numFmtId="1" fontId="14" fillId="0" borderId="2" xfId="0" applyNumberFormat="1" applyFont="1" applyBorder="1" applyAlignment="1">
      <alignment horizontal="center" vertical="center"/>
    </xf>
    <xf numFmtId="164" fontId="14" fillId="0" borderId="2" xfId="2" applyNumberFormat="1" applyFont="1" applyBorder="1" applyAlignment="1">
      <alignment horizontal="center" vertical="center"/>
    </xf>
    <xf numFmtId="164" fontId="14" fillId="0" borderId="2" xfId="0" applyNumberFormat="1" applyFont="1" applyBorder="1"/>
    <xf numFmtId="1" fontId="15" fillId="11" borderId="2" xfId="0" applyNumberFormat="1" applyFont="1" applyFill="1" applyBorder="1" applyAlignment="1">
      <alignment horizontal="center" vertical="center"/>
    </xf>
    <xf numFmtId="164" fontId="15" fillId="11" borderId="2" xfId="0" applyNumberFormat="1" applyFont="1" applyFill="1" applyBorder="1"/>
    <xf numFmtId="0" fontId="15" fillId="12" borderId="2" xfId="0" applyFont="1" applyFill="1" applyBorder="1" applyAlignment="1">
      <alignment horizontal="center" vertical="center" wrapText="1"/>
    </xf>
    <xf numFmtId="166" fontId="15" fillId="0" borderId="2" xfId="0" applyNumberFormat="1" applyFont="1" applyBorder="1" applyAlignment="1">
      <alignment horizontal="center" vertical="center" wrapText="1"/>
    </xf>
    <xf numFmtId="164" fontId="14" fillId="0" borderId="2" xfId="0" applyNumberFormat="1" applyFont="1" applyBorder="1" applyAlignment="1">
      <alignment vertical="center" wrapText="1"/>
    </xf>
    <xf numFmtId="164" fontId="15" fillId="9" borderId="2" xfId="0" applyNumberFormat="1" applyFont="1" applyFill="1" applyBorder="1" applyAlignment="1">
      <alignment vertical="center" wrapText="1"/>
    </xf>
    <xf numFmtId="1" fontId="14" fillId="0" borderId="7" xfId="0" applyNumberFormat="1" applyFont="1" applyBorder="1" applyAlignment="1">
      <alignment horizontal="center" vertical="center" wrapText="1"/>
    </xf>
    <xf numFmtId="164" fontId="14" fillId="0" borderId="7" xfId="28" applyNumberFormat="1" applyFont="1" applyBorder="1" applyAlignment="1">
      <alignment horizontal="center" vertical="center" shrinkToFit="1"/>
    </xf>
    <xf numFmtId="164" fontId="14" fillId="0" borderId="7" xfId="0" applyNumberFormat="1" applyFont="1" applyBorder="1" applyAlignment="1">
      <alignment horizontal="center" vertical="center" shrinkToFit="1"/>
    </xf>
    <xf numFmtId="164" fontId="15" fillId="14" borderId="2" xfId="0" applyNumberFormat="1" applyFont="1" applyFill="1" applyBorder="1" applyAlignment="1">
      <alignment horizontal="center" vertical="center" wrapText="1"/>
    </xf>
    <xf numFmtId="164" fontId="15" fillId="13" borderId="2" xfId="0" applyNumberFormat="1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164" fontId="14" fillId="0" borderId="2" xfId="0" applyNumberFormat="1" applyFont="1" applyBorder="1" applyAlignment="1">
      <alignment horizontal="center" vertical="center" wrapText="1"/>
    </xf>
    <xf numFmtId="3" fontId="15" fillId="15" borderId="0" xfId="0" applyNumberFormat="1" applyFont="1" applyFill="1" applyAlignment="1">
      <alignment horizontal="center" vertical="center" wrapText="1"/>
    </xf>
    <xf numFmtId="1" fontId="14" fillId="0" borderId="2" xfId="0" applyNumberFormat="1" applyFont="1" applyBorder="1" applyAlignment="1">
      <alignment horizontal="center"/>
    </xf>
    <xf numFmtId="1" fontId="14" fillId="0" borderId="2" xfId="2" applyNumberFormat="1" applyFont="1" applyBorder="1" applyAlignment="1">
      <alignment horizontal="center" vertical="center"/>
    </xf>
    <xf numFmtId="0" fontId="16" fillId="16" borderId="13" xfId="0" applyFont="1" applyFill="1" applyBorder="1" applyAlignment="1">
      <alignment horizontal="center" vertical="center"/>
    </xf>
    <xf numFmtId="164" fontId="14" fillId="0" borderId="2" xfId="0" applyNumberFormat="1" applyFont="1" applyBorder="1" applyAlignment="1">
      <alignment horizontal="left" vertical="center" shrinkToFit="1"/>
    </xf>
    <xf numFmtId="164" fontId="14" fillId="0" borderId="2" xfId="0" applyNumberFormat="1" applyFont="1" applyBorder="1" applyAlignment="1">
      <alignment horizontal="left" vertical="center" wrapText="1"/>
    </xf>
    <xf numFmtId="10" fontId="0" fillId="0" borderId="2" xfId="0" applyNumberFormat="1" applyBorder="1" applyAlignment="1">
      <alignment horizontal="center" vertical="center"/>
    </xf>
    <xf numFmtId="10" fontId="17" fillId="16" borderId="2" xfId="0" applyNumberFormat="1" applyFont="1" applyFill="1" applyBorder="1" applyAlignment="1">
      <alignment horizontal="center" vertical="center"/>
    </xf>
    <xf numFmtId="10" fontId="17" fillId="0" borderId="2" xfId="0" applyNumberFormat="1" applyFont="1" applyBorder="1" applyAlignment="1">
      <alignment horizontal="center" vertical="center"/>
    </xf>
    <xf numFmtId="10" fontId="14" fillId="10" borderId="2" xfId="3" applyNumberFormat="1" applyFont="1" applyFill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/>
    </xf>
    <xf numFmtId="164" fontId="14" fillId="10" borderId="2" xfId="0" applyNumberFormat="1" applyFont="1" applyFill="1" applyBorder="1" applyAlignment="1">
      <alignment vertical="center" wrapText="1"/>
    </xf>
    <xf numFmtId="0" fontId="17" fillId="16" borderId="13" xfId="0" applyFont="1" applyFill="1" applyBorder="1" applyAlignment="1">
      <alignment horizontal="center" vertical="center"/>
    </xf>
    <xf numFmtId="10" fontId="0" fillId="0" borderId="13" xfId="0" applyNumberFormat="1" applyBorder="1" applyAlignment="1">
      <alignment horizontal="center" vertical="center"/>
    </xf>
    <xf numFmtId="164" fontId="0" fillId="0" borderId="13" xfId="0" applyNumberFormat="1" applyBorder="1" applyAlignment="1">
      <alignment wrapText="1"/>
    </xf>
    <xf numFmtId="0" fontId="16" fillId="16" borderId="13" xfId="0" applyFont="1" applyFill="1" applyBorder="1" applyAlignment="1">
      <alignment horizontal="center" vertical="center" wrapText="1"/>
    </xf>
    <xf numFmtId="170" fontId="15" fillId="14" borderId="2" xfId="0" applyNumberFormat="1" applyFont="1" applyFill="1" applyBorder="1" applyAlignment="1">
      <alignment horizontal="center" vertical="center" wrapText="1"/>
    </xf>
    <xf numFmtId="164" fontId="14" fillId="0" borderId="0" xfId="0" applyNumberFormat="1" applyFont="1"/>
    <xf numFmtId="170" fontId="15" fillId="13" borderId="2" xfId="0" applyNumberFormat="1" applyFont="1" applyFill="1" applyBorder="1" applyAlignment="1">
      <alignment horizontal="center" vertical="center" wrapText="1"/>
    </xf>
    <xf numFmtId="164" fontId="0" fillId="0" borderId="21" xfId="0" applyNumberFormat="1" applyBorder="1" applyAlignment="1">
      <alignment wrapText="1"/>
    </xf>
    <xf numFmtId="0" fontId="11" fillId="0" borderId="13" xfId="0" applyFont="1" applyBorder="1" applyAlignment="1">
      <alignment horizontal="center" vertical="center"/>
    </xf>
    <xf numFmtId="0" fontId="11" fillId="0" borderId="13" xfId="0" applyFont="1" applyBorder="1" applyAlignment="1">
      <alignment horizontal="left" vertical="center"/>
    </xf>
    <xf numFmtId="10" fontId="11" fillId="0" borderId="13" xfId="0" applyNumberFormat="1" applyFont="1" applyBorder="1" applyAlignment="1">
      <alignment horizontal="center" vertical="center"/>
    </xf>
    <xf numFmtId="164" fontId="11" fillId="0" borderId="13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64" fontId="11" fillId="0" borderId="0" xfId="0" applyNumberFormat="1" applyFont="1" applyAlignment="1">
      <alignment horizontal="center" vertical="center"/>
    </xf>
    <xf numFmtId="164" fontId="18" fillId="0" borderId="13" xfId="0" applyNumberFormat="1" applyFont="1" applyBorder="1" applyAlignment="1">
      <alignment horizontal="center" vertical="center"/>
    </xf>
    <xf numFmtId="171" fontId="11" fillId="0" borderId="13" xfId="0" applyNumberFormat="1" applyFont="1" applyBorder="1" applyAlignment="1">
      <alignment horizontal="center" vertical="center"/>
    </xf>
    <xf numFmtId="0" fontId="18" fillId="18" borderId="13" xfId="0" applyFont="1" applyFill="1" applyBorder="1" applyAlignment="1">
      <alignment horizontal="center" vertical="center"/>
    </xf>
    <xf numFmtId="164" fontId="18" fillId="18" borderId="13" xfId="0" applyNumberFormat="1" applyFont="1" applyFill="1" applyBorder="1" applyAlignment="1">
      <alignment horizontal="center" vertical="center"/>
    </xf>
    <xf numFmtId="0" fontId="18" fillId="19" borderId="13" xfId="0" applyFont="1" applyFill="1" applyBorder="1" applyAlignment="1">
      <alignment horizontal="center" vertical="center"/>
    </xf>
    <xf numFmtId="164" fontId="18" fillId="19" borderId="13" xfId="0" applyNumberFormat="1" applyFont="1" applyFill="1" applyBorder="1" applyAlignment="1">
      <alignment horizontal="center" vertical="center"/>
    </xf>
    <xf numFmtId="164" fontId="18" fillId="17" borderId="13" xfId="0" applyNumberFormat="1" applyFont="1" applyFill="1" applyBorder="1" applyAlignment="1">
      <alignment horizontal="center" vertical="center"/>
    </xf>
    <xf numFmtId="10" fontId="18" fillId="17" borderId="13" xfId="0" applyNumberFormat="1" applyFont="1" applyFill="1" applyBorder="1" applyAlignment="1">
      <alignment horizontal="center" vertical="center"/>
    </xf>
    <xf numFmtId="171" fontId="18" fillId="17" borderId="13" xfId="0" applyNumberFormat="1" applyFont="1" applyFill="1" applyBorder="1" applyAlignment="1">
      <alignment horizontal="center" vertical="center"/>
    </xf>
    <xf numFmtId="171" fontId="18" fillId="18" borderId="13" xfId="0" applyNumberFormat="1" applyFont="1" applyFill="1" applyBorder="1" applyAlignment="1">
      <alignment horizontal="center" vertical="center"/>
    </xf>
    <xf numFmtId="0" fontId="18" fillId="0" borderId="13" xfId="0" applyFont="1" applyBorder="1" applyAlignment="1">
      <alignment horizontal="left" vertical="center"/>
    </xf>
    <xf numFmtId="10" fontId="18" fillId="0" borderId="13" xfId="0" applyNumberFormat="1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0" xfId="0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0" fontId="17" fillId="20" borderId="13" xfId="0" applyFont="1" applyFill="1" applyBorder="1" applyAlignment="1">
      <alignment horizontal="center" vertical="center"/>
    </xf>
    <xf numFmtId="10" fontId="17" fillId="21" borderId="13" xfId="0" applyNumberFormat="1" applyFont="1" applyFill="1" applyBorder="1" applyAlignment="1">
      <alignment horizontal="center" vertical="center"/>
    </xf>
    <xf numFmtId="1" fontId="17" fillId="14" borderId="13" xfId="0" applyNumberFormat="1" applyFont="1" applyFill="1" applyBorder="1" applyAlignment="1">
      <alignment horizontal="center" vertical="center"/>
    </xf>
    <xf numFmtId="164" fontId="15" fillId="0" borderId="2" xfId="0" applyNumberFormat="1" applyFont="1" applyBorder="1" applyAlignment="1">
      <alignment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10" fontId="14" fillId="0" borderId="2" xfId="10" applyNumberFormat="1" applyFont="1" applyBorder="1" applyAlignment="1">
      <alignment horizontal="center" vertical="center" wrapText="1"/>
    </xf>
    <xf numFmtId="10" fontId="15" fillId="10" borderId="4" xfId="3" applyNumberFormat="1" applyFont="1" applyFill="1" applyBorder="1" applyAlignment="1">
      <alignment horizontal="center" vertical="center" wrapText="1"/>
    </xf>
    <xf numFmtId="164" fontId="15" fillId="10" borderId="2" xfId="0" applyNumberFormat="1" applyFont="1" applyFill="1" applyBorder="1" applyAlignment="1">
      <alignment vertical="center" wrapText="1"/>
    </xf>
    <xf numFmtId="10" fontId="15" fillId="10" borderId="2" xfId="3" applyNumberFormat="1" applyFont="1" applyFill="1" applyBorder="1" applyAlignment="1">
      <alignment horizontal="center" vertical="center" wrapText="1"/>
    </xf>
    <xf numFmtId="4" fontId="0" fillId="0" borderId="13" xfId="0" applyNumberFormat="1" applyBorder="1" applyAlignment="1">
      <alignment horizontal="center"/>
    </xf>
    <xf numFmtId="164" fontId="15" fillId="13" borderId="2" xfId="0" applyNumberFormat="1" applyFont="1" applyFill="1" applyBorder="1" applyAlignment="1">
      <alignment horizontal="left" vertical="center" wrapText="1"/>
    </xf>
    <xf numFmtId="164" fontId="17" fillId="14" borderId="2" xfId="0" applyNumberFormat="1" applyFont="1" applyFill="1" applyBorder="1"/>
    <xf numFmtId="0" fontId="17" fillId="14" borderId="2" xfId="0" applyFont="1" applyFill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164" fontId="0" fillId="0" borderId="13" xfId="0" applyNumberFormat="1" applyBorder="1" applyAlignment="1">
      <alignment horizontal="left" wrapText="1"/>
    </xf>
    <xf numFmtId="164" fontId="0" fillId="0" borderId="21" xfId="0" applyNumberFormat="1" applyBorder="1" applyAlignment="1">
      <alignment horizontal="left" wrapText="1"/>
    </xf>
    <xf numFmtId="1" fontId="15" fillId="9" borderId="2" xfId="0" applyNumberFormat="1" applyFont="1" applyFill="1" applyBorder="1" applyAlignment="1">
      <alignment horizontal="center" vertical="center" wrapText="1"/>
    </xf>
    <xf numFmtId="164" fontId="0" fillId="0" borderId="22" xfId="0" applyNumberFormat="1" applyBorder="1" applyAlignment="1">
      <alignment wrapText="1"/>
    </xf>
    <xf numFmtId="0" fontId="19" fillId="0" borderId="7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vertical="center"/>
    </xf>
    <xf numFmtId="0" fontId="20" fillId="0" borderId="13" xfId="0" applyFont="1" applyBorder="1"/>
    <xf numFmtId="0" fontId="14" fillId="0" borderId="15" xfId="0" applyFont="1" applyBorder="1" applyAlignment="1">
      <alignment vertical="center"/>
    </xf>
    <xf numFmtId="0" fontId="14" fillId="0" borderId="14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19" fillId="10" borderId="5" xfId="0" applyFont="1" applyFill="1" applyBorder="1" applyAlignment="1">
      <alignment horizontal="center" vertical="center" wrapText="1"/>
    </xf>
    <xf numFmtId="0" fontId="19" fillId="10" borderId="6" xfId="0" applyFont="1" applyFill="1" applyBorder="1" applyAlignment="1">
      <alignment horizontal="center" vertical="center" wrapText="1"/>
    </xf>
    <xf numFmtId="0" fontId="19" fillId="10" borderId="2" xfId="0" applyFont="1" applyFill="1" applyBorder="1" applyAlignment="1">
      <alignment horizontal="center" vertical="center"/>
    </xf>
    <xf numFmtId="164" fontId="19" fillId="10" borderId="2" xfId="0" applyNumberFormat="1" applyFont="1" applyFill="1" applyBorder="1" applyAlignment="1">
      <alignment horizontal="left" vertical="center" wrapText="1"/>
    </xf>
    <xf numFmtId="164" fontId="19" fillId="10" borderId="2" xfId="0" applyNumberFormat="1" applyFont="1" applyFill="1" applyBorder="1" applyAlignment="1">
      <alignment horizontal="center" vertical="center" wrapText="1"/>
    </xf>
    <xf numFmtId="0" fontId="19" fillId="0" borderId="0" xfId="0" applyFont="1"/>
    <xf numFmtId="0" fontId="21" fillId="0" borderId="0" xfId="0" applyFont="1" applyAlignment="1">
      <alignment vertical="center"/>
    </xf>
    <xf numFmtId="0" fontId="21" fillId="0" borderId="0" xfId="0" applyFont="1"/>
    <xf numFmtId="0" fontId="14" fillId="0" borderId="0" xfId="0" applyFont="1"/>
    <xf numFmtId="3" fontId="15" fillId="15" borderId="2" xfId="0" applyNumberFormat="1" applyFont="1" applyFill="1" applyBorder="1" applyAlignment="1">
      <alignment horizontal="center" vertical="center" wrapText="1"/>
    </xf>
    <xf numFmtId="169" fontId="14" fillId="0" borderId="2" xfId="0" applyNumberFormat="1" applyFont="1" applyBorder="1" applyAlignment="1">
      <alignment horizontal="center" vertical="center" wrapText="1"/>
    </xf>
    <xf numFmtId="169" fontId="14" fillId="0" borderId="2" xfId="0" applyNumberFormat="1" applyFont="1" applyBorder="1" applyAlignment="1">
      <alignment horizontal="center" vertical="center" shrinkToFit="1"/>
    </xf>
    <xf numFmtId="0" fontId="14" fillId="0" borderId="13" xfId="0" applyFont="1" applyBorder="1"/>
    <xf numFmtId="0" fontId="14" fillId="0" borderId="13" xfId="0" applyFont="1" applyBorder="1" applyAlignment="1">
      <alignment wrapText="1"/>
    </xf>
    <xf numFmtId="0" fontId="19" fillId="10" borderId="13" xfId="0" applyFont="1" applyFill="1" applyBorder="1"/>
    <xf numFmtId="0" fontId="19" fillId="0" borderId="2" xfId="0" applyFont="1" applyBorder="1" applyAlignment="1">
      <alignment horizontal="center" vertical="center" wrapText="1"/>
    </xf>
    <xf numFmtId="164" fontId="19" fillId="0" borderId="2" xfId="0" applyNumberFormat="1" applyFont="1" applyBorder="1" applyAlignment="1">
      <alignment vertical="center" wrapText="1"/>
    </xf>
    <xf numFmtId="0" fontId="15" fillId="11" borderId="2" xfId="0" applyFont="1" applyFill="1" applyBorder="1" applyAlignment="1">
      <alignment horizontal="center" vertical="center"/>
    </xf>
    <xf numFmtId="169" fontId="15" fillId="0" borderId="7" xfId="2" applyNumberFormat="1" applyFont="1" applyBorder="1" applyAlignment="1">
      <alignment horizontal="center" vertical="center"/>
    </xf>
    <xf numFmtId="169" fontId="15" fillId="0" borderId="14" xfId="2" applyNumberFormat="1" applyFont="1" applyBorder="1" applyAlignment="1">
      <alignment horizontal="center" vertical="center"/>
    </xf>
    <xf numFmtId="0" fontId="15" fillId="11" borderId="5" xfId="0" applyFont="1" applyFill="1" applyBorder="1" applyAlignment="1">
      <alignment horizontal="center"/>
    </xf>
    <xf numFmtId="0" fontId="15" fillId="11" borderId="3" xfId="0" applyFont="1" applyFill="1" applyBorder="1" applyAlignment="1">
      <alignment horizontal="center"/>
    </xf>
    <xf numFmtId="0" fontId="15" fillId="11" borderId="6" xfId="0" applyFont="1" applyFill="1" applyBorder="1" applyAlignment="1">
      <alignment horizontal="center"/>
    </xf>
    <xf numFmtId="0" fontId="15" fillId="0" borderId="3" xfId="0" applyFont="1" applyBorder="1" applyAlignment="1">
      <alignment horizontal="center" vertical="center" wrapText="1"/>
    </xf>
    <xf numFmtId="0" fontId="15" fillId="9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 indent="2"/>
    </xf>
    <xf numFmtId="0" fontId="14" fillId="0" borderId="0" xfId="0" applyFont="1"/>
    <xf numFmtId="0" fontId="14" fillId="0" borderId="5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 indent="1"/>
    </xf>
    <xf numFmtId="0" fontId="15" fillId="9" borderId="5" xfId="0" applyFont="1" applyFill="1" applyBorder="1" applyAlignment="1">
      <alignment horizontal="center" vertical="center" wrapText="1"/>
    </xf>
    <xf numFmtId="0" fontId="14" fillId="0" borderId="3" xfId="0" applyFont="1" applyBorder="1"/>
    <xf numFmtId="0" fontId="14" fillId="0" borderId="1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 indent="1"/>
    </xf>
    <xf numFmtId="0" fontId="15" fillId="9" borderId="3" xfId="0" applyFont="1" applyFill="1" applyBorder="1" applyAlignment="1">
      <alignment horizontal="center" vertical="center" wrapText="1"/>
    </xf>
    <xf numFmtId="0" fontId="15" fillId="9" borderId="6" xfId="0" applyFont="1" applyFill="1" applyBorder="1" applyAlignment="1">
      <alignment horizontal="center" vertical="center" wrapText="1"/>
    </xf>
    <xf numFmtId="0" fontId="15" fillId="10" borderId="5" xfId="0" applyFont="1" applyFill="1" applyBorder="1" applyAlignment="1">
      <alignment horizontal="center" vertical="center" wrapText="1"/>
    </xf>
    <xf numFmtId="0" fontId="15" fillId="10" borderId="3" xfId="0" applyFont="1" applyFill="1" applyBorder="1" applyAlignment="1">
      <alignment horizontal="center" vertical="center" wrapText="1"/>
    </xf>
    <xf numFmtId="0" fontId="15" fillId="10" borderId="6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left" vertical="center" wrapText="1" indent="1"/>
    </xf>
    <xf numFmtId="0" fontId="14" fillId="0" borderId="5" xfId="0" applyFont="1" applyBorder="1" applyAlignment="1">
      <alignment horizontal="justify" vertical="center" wrapText="1"/>
    </xf>
    <xf numFmtId="0" fontId="14" fillId="0" borderId="3" xfId="0" applyFont="1" applyBorder="1" applyAlignment="1">
      <alignment horizontal="justify" vertical="center" wrapText="1"/>
    </xf>
    <xf numFmtId="0" fontId="0" fillId="0" borderId="6" xfId="0" applyBorder="1" applyAlignment="1">
      <alignment horizontal="justify" vertical="center" wrapText="1"/>
    </xf>
    <xf numFmtId="0" fontId="0" fillId="0" borderId="6" xfId="0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14" fontId="15" fillId="0" borderId="2" xfId="0" applyNumberFormat="1" applyFont="1" applyBorder="1" applyAlignment="1">
      <alignment horizontal="left" vertical="center" wrapText="1"/>
    </xf>
    <xf numFmtId="14" fontId="15" fillId="0" borderId="6" xfId="0" applyNumberFormat="1" applyFont="1" applyBorder="1" applyAlignment="1">
      <alignment horizontal="left" vertical="center" wrapText="1"/>
    </xf>
    <xf numFmtId="164" fontId="15" fillId="13" borderId="2" xfId="0" applyNumberFormat="1" applyFont="1" applyFill="1" applyBorder="1" applyAlignment="1">
      <alignment horizontal="left" vertical="center" wrapText="1"/>
    </xf>
    <xf numFmtId="164" fontId="15" fillId="13" borderId="6" xfId="0" applyNumberFormat="1" applyFont="1" applyFill="1" applyBorder="1" applyAlignment="1">
      <alignment horizontal="left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1" fontId="15" fillId="0" borderId="2" xfId="0" applyNumberFormat="1" applyFont="1" applyBorder="1" applyAlignment="1">
      <alignment horizontal="center" vertical="center" wrapText="1"/>
    </xf>
    <xf numFmtId="0" fontId="15" fillId="9" borderId="2" xfId="0" applyFont="1" applyFill="1" applyBorder="1" applyAlignment="1">
      <alignment horizontal="left" vertical="center" wrapText="1"/>
    </xf>
    <xf numFmtId="167" fontId="15" fillId="0" borderId="2" xfId="0" applyNumberFormat="1" applyFont="1" applyBorder="1" applyAlignment="1">
      <alignment horizontal="left" vertical="center" wrapText="1"/>
    </xf>
    <xf numFmtId="0" fontId="15" fillId="0" borderId="13" xfId="0" applyFont="1" applyBorder="1" applyAlignment="1">
      <alignment horizontal="center" vertical="center" wrapText="1"/>
    </xf>
    <xf numFmtId="164" fontId="15" fillId="13" borderId="13" xfId="0" applyNumberFormat="1" applyFont="1" applyFill="1" applyBorder="1" applyAlignment="1">
      <alignment horizontal="center" vertical="center" wrapText="1"/>
    </xf>
    <xf numFmtId="0" fontId="15" fillId="0" borderId="16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left" vertical="center" wrapText="1"/>
    </xf>
    <xf numFmtId="0" fontId="15" fillId="0" borderId="18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justify" vertical="center" wrapText="1"/>
    </xf>
    <xf numFmtId="0" fontId="14" fillId="0" borderId="3" xfId="0" applyFont="1" applyBorder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15" fillId="0" borderId="5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22" fillId="0" borderId="6" xfId="0" applyFont="1" applyBorder="1" applyAlignment="1">
      <alignment horizontal="left" vertical="center" wrapText="1"/>
    </xf>
    <xf numFmtId="167" fontId="15" fillId="0" borderId="6" xfId="0" applyNumberFormat="1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10" fontId="17" fillId="20" borderId="16" xfId="0" applyNumberFormat="1" applyFont="1" applyFill="1" applyBorder="1" applyAlignment="1">
      <alignment horizontal="center" vertical="center"/>
    </xf>
    <xf numFmtId="10" fontId="17" fillId="20" borderId="17" xfId="0" applyNumberFormat="1" applyFont="1" applyFill="1" applyBorder="1" applyAlignment="1">
      <alignment horizontal="center" vertical="center"/>
    </xf>
    <xf numFmtId="10" fontId="17" fillId="20" borderId="18" xfId="0" applyNumberFormat="1" applyFont="1" applyFill="1" applyBorder="1" applyAlignment="1">
      <alignment horizontal="center" vertical="center"/>
    </xf>
    <xf numFmtId="0" fontId="17" fillId="20" borderId="19" xfId="0" applyFont="1" applyFill="1" applyBorder="1" applyAlignment="1">
      <alignment horizontal="center" vertical="center"/>
    </xf>
    <xf numFmtId="0" fontId="17" fillId="20" borderId="20" xfId="0" applyFont="1" applyFill="1" applyBorder="1" applyAlignment="1">
      <alignment horizontal="center" vertical="center"/>
    </xf>
    <xf numFmtId="0" fontId="16" fillId="16" borderId="2" xfId="0" applyFont="1" applyFill="1" applyBorder="1" applyAlignment="1">
      <alignment horizontal="center" vertical="center" wrapText="1"/>
    </xf>
    <xf numFmtId="1" fontId="17" fillId="14" borderId="13" xfId="0" applyNumberFormat="1" applyFont="1" applyFill="1" applyBorder="1" applyAlignment="1">
      <alignment horizontal="center" vertical="center"/>
    </xf>
    <xf numFmtId="0" fontId="15" fillId="14" borderId="2" xfId="0" applyFont="1" applyFill="1" applyBorder="1" applyAlignment="1">
      <alignment horizontal="center" vertical="center" wrapText="1"/>
    </xf>
    <xf numFmtId="0" fontId="15" fillId="13" borderId="2" xfId="0" applyFont="1" applyFill="1" applyBorder="1" applyAlignment="1">
      <alignment horizontal="center" vertical="center" wrapText="1"/>
    </xf>
    <xf numFmtId="0" fontId="15" fillId="15" borderId="2" xfId="0" applyFont="1" applyFill="1" applyBorder="1" applyAlignment="1">
      <alignment horizontal="center" vertical="center" wrapText="1"/>
    </xf>
    <xf numFmtId="0" fontId="15" fillId="14" borderId="3" xfId="0" applyFont="1" applyFill="1" applyBorder="1" applyAlignment="1">
      <alignment horizontal="center" vertical="center" wrapText="1"/>
    </xf>
    <xf numFmtId="0" fontId="15" fillId="14" borderId="6" xfId="0" applyFont="1" applyFill="1" applyBorder="1" applyAlignment="1">
      <alignment horizontal="center" vertical="center" wrapText="1"/>
    </xf>
    <xf numFmtId="0" fontId="15" fillId="14" borderId="5" xfId="0" applyFont="1" applyFill="1" applyBorder="1" applyAlignment="1">
      <alignment horizontal="center" vertical="center" wrapText="1"/>
    </xf>
    <xf numFmtId="0" fontId="15" fillId="14" borderId="15" xfId="0" applyFont="1" applyFill="1" applyBorder="1" applyAlignment="1">
      <alignment horizontal="center" vertical="center" wrapText="1"/>
    </xf>
    <xf numFmtId="0" fontId="15" fillId="14" borderId="11" xfId="0" applyFont="1" applyFill="1" applyBorder="1" applyAlignment="1">
      <alignment horizontal="center" vertical="center" wrapText="1"/>
    </xf>
    <xf numFmtId="0" fontId="15" fillId="15" borderId="3" xfId="0" applyFont="1" applyFill="1" applyBorder="1" applyAlignment="1">
      <alignment horizontal="center" vertical="center" wrapText="1"/>
    </xf>
    <xf numFmtId="0" fontId="15" fillId="14" borderId="9" xfId="0" applyFont="1" applyFill="1" applyBorder="1" applyAlignment="1">
      <alignment horizontal="center" vertical="center" wrapText="1"/>
    </xf>
    <xf numFmtId="0" fontId="15" fillId="14" borderId="10" xfId="0" applyFont="1" applyFill="1" applyBorder="1" applyAlignment="1">
      <alignment horizontal="center" vertical="center" wrapText="1"/>
    </xf>
    <xf numFmtId="0" fontId="15" fillId="15" borderId="8" xfId="0" applyFont="1" applyFill="1" applyBorder="1" applyAlignment="1">
      <alignment horizontal="center" vertical="center" wrapText="1"/>
    </xf>
    <xf numFmtId="0" fontId="15" fillId="15" borderId="12" xfId="0" applyFont="1" applyFill="1" applyBorder="1" applyAlignment="1">
      <alignment horizontal="center" vertical="center" wrapText="1"/>
    </xf>
    <xf numFmtId="0" fontId="15" fillId="14" borderId="23" xfId="0" applyFont="1" applyFill="1" applyBorder="1" applyAlignment="1">
      <alignment horizontal="center" vertical="center" wrapText="1"/>
    </xf>
    <xf numFmtId="0" fontId="18" fillId="17" borderId="13" xfId="0" applyFont="1" applyFill="1" applyBorder="1" applyAlignment="1">
      <alignment horizontal="center" vertical="center"/>
    </xf>
    <xf numFmtId="0" fontId="18" fillId="18" borderId="13" xfId="0" applyFont="1" applyFill="1" applyBorder="1" applyAlignment="1">
      <alignment horizontal="center" vertical="center"/>
    </xf>
    <xf numFmtId="0" fontId="11" fillId="0" borderId="13" xfId="0" applyFont="1" applyBorder="1" applyAlignment="1">
      <alignment horizontal="left" vertical="center"/>
    </xf>
    <xf numFmtId="0" fontId="18" fillId="19" borderId="13" xfId="0" applyFont="1" applyFill="1" applyBorder="1" applyAlignment="1">
      <alignment horizontal="center" vertical="center"/>
    </xf>
    <xf numFmtId="0" fontId="18" fillId="17" borderId="13" xfId="0" applyFont="1" applyFill="1" applyBorder="1" applyAlignment="1">
      <alignment horizontal="center" vertical="center" wrapText="1"/>
    </xf>
    <xf numFmtId="0" fontId="18" fillId="18" borderId="19" xfId="0" applyFont="1" applyFill="1" applyBorder="1" applyAlignment="1">
      <alignment horizontal="center" vertical="center"/>
    </xf>
    <xf numFmtId="0" fontId="18" fillId="18" borderId="20" xfId="0" applyFont="1" applyFill="1" applyBorder="1" applyAlignment="1">
      <alignment horizontal="center" vertical="center"/>
    </xf>
  </cellXfs>
  <cellStyles count="29">
    <cellStyle name="Accent 1 1" xfId="4" xr:uid="{00000000-0005-0000-0000-000000000000}"/>
    <cellStyle name="Accent 2 1" xfId="5" xr:uid="{00000000-0005-0000-0000-000001000000}"/>
    <cellStyle name="Accent 3 1" xfId="6" xr:uid="{00000000-0005-0000-0000-000002000000}"/>
    <cellStyle name="Accent 4" xfId="7" xr:uid="{00000000-0005-0000-0000-000003000000}"/>
    <cellStyle name="Bad 1" xfId="8" xr:uid="{00000000-0005-0000-0000-000004000000}"/>
    <cellStyle name="Error 1" xfId="9" xr:uid="{00000000-0005-0000-0000-000005000000}"/>
    <cellStyle name="Excel_BuiltIn_Texto Explicativo 1" xfId="10" xr:uid="{00000000-0005-0000-0000-000006000000}"/>
    <cellStyle name="Footnote 1" xfId="11" xr:uid="{00000000-0005-0000-0000-000007000000}"/>
    <cellStyle name="Good 1" xfId="12" xr:uid="{00000000-0005-0000-0000-000008000000}"/>
    <cellStyle name="Heading 1 1" xfId="13" xr:uid="{00000000-0005-0000-0000-000009000000}"/>
    <cellStyle name="Heading 2 1" xfId="14" xr:uid="{00000000-0005-0000-0000-00000A000000}"/>
    <cellStyle name="Heading 3" xfId="15" xr:uid="{00000000-0005-0000-0000-00000B000000}"/>
    <cellStyle name="Hyperlink 1" xfId="16" xr:uid="{00000000-0005-0000-0000-00000C000000}"/>
    <cellStyle name="Moeda" xfId="2" builtinId="4" customBuiltin="1"/>
    <cellStyle name="Neutral 1" xfId="17" xr:uid="{00000000-0005-0000-0000-00000E000000}"/>
    <cellStyle name="Normal" xfId="0" builtinId="0" customBuiltin="1"/>
    <cellStyle name="Normal 16" xfId="28" xr:uid="{00000000-0005-0000-0000-000010000000}"/>
    <cellStyle name="Normal 2" xfId="18" xr:uid="{00000000-0005-0000-0000-000011000000}"/>
    <cellStyle name="Normal 2 2" xfId="19" xr:uid="{00000000-0005-0000-0000-000012000000}"/>
    <cellStyle name="Normal 2 2 2" xfId="20" xr:uid="{00000000-0005-0000-0000-000013000000}"/>
    <cellStyle name="Normal 2 2 2 2" xfId="21" xr:uid="{00000000-0005-0000-0000-000014000000}"/>
    <cellStyle name="Normal 5" xfId="22" xr:uid="{00000000-0005-0000-0000-000015000000}"/>
    <cellStyle name="Normal 5 5" xfId="23" xr:uid="{00000000-0005-0000-0000-000016000000}"/>
    <cellStyle name="Note 1" xfId="24" xr:uid="{00000000-0005-0000-0000-000017000000}"/>
    <cellStyle name="Porcentagem" xfId="3" builtinId="5" customBuiltin="1"/>
    <cellStyle name="Status 1" xfId="25" xr:uid="{00000000-0005-0000-0000-000019000000}"/>
    <cellStyle name="Text 1" xfId="26" xr:uid="{00000000-0005-0000-0000-00001A000000}"/>
    <cellStyle name="Vírgula" xfId="1" builtinId="3" customBuiltin="1"/>
    <cellStyle name="Warning 1" xfId="27" xr:uid="{00000000-0005-0000-0000-00001C000000}"/>
  </cellStyles>
  <dxfs count="0"/>
  <tableStyles count="0" defaultTableStyle="TableStyleMedium2" defaultPivotStyle="PivotStyleLight16"/>
  <colors>
    <mruColors>
      <color rgb="FFDDDDDD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view="pageBreakPreview" topLeftCell="D1" zoomScale="150" zoomScaleNormal="100" zoomScaleSheetLayoutView="150" workbookViewId="0">
      <selection activeCell="G16" sqref="G16"/>
    </sheetView>
  </sheetViews>
  <sheetFormatPr defaultColWidth="9.140625" defaultRowHeight="14.25"/>
  <cols>
    <col min="1" max="1" width="7.140625" style="30" customWidth="1"/>
    <col min="2" max="2" width="30.42578125" style="2" customWidth="1"/>
    <col min="3" max="3" width="17.28515625" style="2" customWidth="1"/>
    <col min="4" max="4" width="20.5703125" style="2" customWidth="1"/>
    <col min="5" max="5" width="22" style="2" customWidth="1"/>
    <col min="6" max="6" width="19.28515625" style="2" customWidth="1"/>
    <col min="7" max="8" width="26.42578125" style="2" customWidth="1"/>
    <col min="9" max="9" width="23.7109375" style="2" customWidth="1"/>
    <col min="10" max="10" width="23.140625" style="2" customWidth="1"/>
    <col min="11" max="11" width="16.85546875" style="2" customWidth="1"/>
    <col min="12" max="12" width="14.85546875" style="2" customWidth="1"/>
    <col min="13" max="1027" width="11.5703125" style="2" customWidth="1"/>
    <col min="1028" max="1028" width="9.140625" style="2" customWidth="1"/>
    <col min="1029" max="16384" width="9.140625" style="2"/>
  </cols>
  <sheetData>
    <row r="1" spans="1:9">
      <c r="A1" s="135" t="s">
        <v>0</v>
      </c>
      <c r="B1" s="135"/>
      <c r="C1" s="135"/>
      <c r="D1" s="135"/>
      <c r="E1" s="135"/>
      <c r="F1" s="135"/>
      <c r="G1" s="135"/>
      <c r="H1" s="135"/>
      <c r="I1" s="135"/>
    </row>
    <row r="2" spans="1:9" ht="28.5">
      <c r="A2" s="38" t="s">
        <v>1</v>
      </c>
      <c r="B2" s="38" t="s">
        <v>2</v>
      </c>
      <c r="C2" s="38" t="s">
        <v>135</v>
      </c>
      <c r="D2" s="38" t="s">
        <v>117</v>
      </c>
      <c r="E2" s="38" t="s">
        <v>134</v>
      </c>
      <c r="F2" s="38" t="s">
        <v>118</v>
      </c>
      <c r="G2" s="38" t="s">
        <v>106</v>
      </c>
      <c r="H2" s="38" t="s">
        <v>120</v>
      </c>
      <c r="I2" s="38" t="s">
        <v>119</v>
      </c>
    </row>
    <row r="3" spans="1:9">
      <c r="A3" s="5">
        <v>1</v>
      </c>
      <c r="B3" s="4" t="s">
        <v>232</v>
      </c>
      <c r="C3" s="51" t="s">
        <v>340</v>
      </c>
      <c r="D3" s="33">
        <v>4</v>
      </c>
      <c r="E3" s="51">
        <v>4</v>
      </c>
      <c r="F3" s="34">
        <f>'Serv. de limpeza'!H134</f>
        <v>8198.6252508435355</v>
      </c>
      <c r="G3" s="34">
        <f>F3*E3</f>
        <v>32794.501003374142</v>
      </c>
      <c r="H3" s="136">
        <v>12</v>
      </c>
      <c r="I3" s="34">
        <f>G3*H3</f>
        <v>393534.0120404897</v>
      </c>
    </row>
    <row r="4" spans="1:9">
      <c r="A4" s="5">
        <v>2</v>
      </c>
      <c r="B4" s="1" t="s">
        <v>235</v>
      </c>
      <c r="C4" s="51" t="s">
        <v>342</v>
      </c>
      <c r="D4" s="33">
        <v>2</v>
      </c>
      <c r="E4" s="51">
        <v>2</v>
      </c>
      <c r="F4" s="34">
        <f>Carregador!H134</f>
        <v>6111.949977646259</v>
      </c>
      <c r="G4" s="34">
        <f>E4*F4</f>
        <v>12223.899955292518</v>
      </c>
      <c r="H4" s="137"/>
      <c r="I4" s="34">
        <f>G4*H3</f>
        <v>146686.79946351022</v>
      </c>
    </row>
    <row r="5" spans="1:9">
      <c r="A5" s="31">
        <v>3</v>
      </c>
      <c r="B5" s="32" t="s">
        <v>182</v>
      </c>
      <c r="C5" s="50" t="s">
        <v>230</v>
      </c>
      <c r="D5" s="50">
        <v>4</v>
      </c>
      <c r="E5" s="50">
        <v>4</v>
      </c>
      <c r="F5" s="35">
        <f>Copeiro!H134</f>
        <v>6863.0444291768717</v>
      </c>
      <c r="G5" s="34">
        <f>E5*F5</f>
        <v>27452.177716707487</v>
      </c>
      <c r="H5" s="137"/>
      <c r="I5" s="34">
        <f>G5*H3</f>
        <v>329426.13260048983</v>
      </c>
    </row>
    <row r="6" spans="1:9">
      <c r="A6" s="31">
        <v>4</v>
      </c>
      <c r="B6" s="32" t="s">
        <v>231</v>
      </c>
      <c r="C6" s="50" t="s">
        <v>341</v>
      </c>
      <c r="D6" s="50">
        <v>4</v>
      </c>
      <c r="E6" s="50">
        <v>4</v>
      </c>
      <c r="F6" s="35">
        <f>Garçom!H134</f>
        <v>8808.1207358072552</v>
      </c>
      <c r="G6" s="34">
        <f>F6*E6</f>
        <v>35232.482943229021</v>
      </c>
      <c r="H6" s="137"/>
      <c r="I6" s="34">
        <f>G6*H3</f>
        <v>422789.79531874822</v>
      </c>
    </row>
    <row r="7" spans="1:9">
      <c r="A7" s="138" t="s">
        <v>104</v>
      </c>
      <c r="B7" s="139"/>
      <c r="C7" s="140"/>
      <c r="D7" s="36">
        <f>SUM(D3:D6)</f>
        <v>14</v>
      </c>
      <c r="E7" s="36">
        <f>SUM(E3:E6)</f>
        <v>14</v>
      </c>
      <c r="F7" s="37">
        <f>SUM(F3:F6)</f>
        <v>29981.74039347392</v>
      </c>
      <c r="G7" s="37">
        <f>SUM(G3:G6)</f>
        <v>107703.06161860315</v>
      </c>
      <c r="H7" s="37"/>
      <c r="I7" s="37">
        <f>SUM(I3:I6)</f>
        <v>1292436.7394232377</v>
      </c>
    </row>
  </sheetData>
  <mergeCells count="3">
    <mergeCell ref="A1:I1"/>
    <mergeCell ref="H3:H6"/>
    <mergeCell ref="A7:C7"/>
  </mergeCells>
  <pageMargins left="1.1023622047244099" right="0.70866141732283516" top="1.5640625000000001" bottom="0.95447916666666721" header="0.31496062992126012" footer="0.31496062992126012"/>
  <pageSetup paperSize="9" scale="60" fitToWidth="0" fitToHeight="0" orientation="portrait" r:id="rId1"/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9"/>
  <sheetViews>
    <sheetView view="pageBreakPreview" topLeftCell="B34" zoomScaleNormal="100" zoomScaleSheetLayoutView="100" workbookViewId="0">
      <selection activeCell="F59" sqref="F59"/>
    </sheetView>
  </sheetViews>
  <sheetFormatPr defaultColWidth="9.140625" defaultRowHeight="14.25"/>
  <cols>
    <col min="1" max="1" width="8.42578125" style="2" customWidth="1"/>
    <col min="2" max="2" width="43.5703125" style="2" customWidth="1"/>
    <col min="3" max="3" width="9.42578125" style="2" customWidth="1"/>
    <col min="4" max="4" width="17.7109375" style="2" customWidth="1"/>
    <col min="5" max="5" width="26.5703125" style="2" customWidth="1"/>
    <col min="6" max="6" width="24" style="2" customWidth="1"/>
    <col min="7" max="7" width="9.140625" style="2" customWidth="1"/>
    <col min="8" max="16384" width="9.140625" style="2"/>
  </cols>
  <sheetData>
    <row r="1" spans="1:9">
      <c r="A1" s="200" t="s">
        <v>251</v>
      </c>
      <c r="B1" s="200"/>
      <c r="C1" s="200"/>
      <c r="D1" s="200"/>
      <c r="E1" s="200"/>
      <c r="F1" s="200"/>
    </row>
    <row r="2" spans="1:9">
      <c r="A2" s="198" t="s">
        <v>1</v>
      </c>
      <c r="B2" s="198" t="s">
        <v>2</v>
      </c>
      <c r="C2" s="198" t="s">
        <v>100</v>
      </c>
      <c r="D2" s="198" t="s">
        <v>101</v>
      </c>
      <c r="E2" s="198" t="s">
        <v>102</v>
      </c>
      <c r="F2" s="198" t="s">
        <v>105</v>
      </c>
    </row>
    <row r="3" spans="1:9">
      <c r="A3" s="198"/>
      <c r="B3" s="198"/>
      <c r="C3" s="198"/>
      <c r="D3" s="198"/>
      <c r="E3" s="198"/>
      <c r="F3" s="198"/>
    </row>
    <row r="4" spans="1:9" ht="42.75">
      <c r="A4" s="21">
        <v>1</v>
      </c>
      <c r="B4" s="23" t="s">
        <v>255</v>
      </c>
      <c r="C4" s="42" t="s">
        <v>103</v>
      </c>
      <c r="D4" s="21">
        <v>8</v>
      </c>
      <c r="E4" s="43">
        <v>82.4</v>
      </c>
      <c r="F4" s="44">
        <f>D4*E4</f>
        <v>659.2</v>
      </c>
    </row>
    <row r="5" spans="1:9" ht="85.5">
      <c r="A5" s="21">
        <f t="shared" ref="A5:A8" si="0">1+A4</f>
        <v>2</v>
      </c>
      <c r="B5" s="111" t="s">
        <v>237</v>
      </c>
      <c r="C5" s="42" t="s">
        <v>103</v>
      </c>
      <c r="D5" s="21">
        <v>8</v>
      </c>
      <c r="E5" s="43">
        <v>38.130000000000003</v>
      </c>
      <c r="F5" s="44">
        <f t="shared" ref="F5:F12" si="1">D5*E5</f>
        <v>305.04000000000002</v>
      </c>
    </row>
    <row r="6" spans="1:9" ht="57">
      <c r="A6" s="21">
        <f t="shared" si="0"/>
        <v>3</v>
      </c>
      <c r="B6" s="23" t="s">
        <v>238</v>
      </c>
      <c r="C6" s="42" t="s">
        <v>242</v>
      </c>
      <c r="D6" s="21">
        <v>8</v>
      </c>
      <c r="E6" s="43">
        <v>7.38</v>
      </c>
      <c r="F6" s="44">
        <f t="shared" si="1"/>
        <v>59.04</v>
      </c>
      <c r="I6" s="3"/>
    </row>
    <row r="7" spans="1:9" ht="28.5">
      <c r="A7" s="21">
        <f t="shared" si="0"/>
        <v>4</v>
      </c>
      <c r="B7" s="23" t="s">
        <v>266</v>
      </c>
      <c r="C7" s="42" t="s">
        <v>242</v>
      </c>
      <c r="D7" s="21">
        <v>8</v>
      </c>
      <c r="E7" s="43">
        <v>86.44</v>
      </c>
      <c r="F7" s="44">
        <f t="shared" si="1"/>
        <v>691.52</v>
      </c>
    </row>
    <row r="8" spans="1:9" ht="57">
      <c r="A8" s="21">
        <f t="shared" si="0"/>
        <v>5</v>
      </c>
      <c r="B8" s="23" t="s">
        <v>239</v>
      </c>
      <c r="C8" s="42" t="s">
        <v>242</v>
      </c>
      <c r="D8" s="21">
        <v>4</v>
      </c>
      <c r="E8" s="43">
        <v>69.53</v>
      </c>
      <c r="F8" s="44">
        <f t="shared" si="1"/>
        <v>278.12</v>
      </c>
    </row>
    <row r="9" spans="1:9">
      <c r="A9" s="21">
        <v>6</v>
      </c>
      <c r="B9" s="23" t="s">
        <v>257</v>
      </c>
      <c r="C9" s="42" t="s">
        <v>242</v>
      </c>
      <c r="D9" s="21">
        <v>8</v>
      </c>
      <c r="E9" s="43">
        <v>23.86</v>
      </c>
      <c r="F9" s="44">
        <f t="shared" si="1"/>
        <v>190.88</v>
      </c>
    </row>
    <row r="10" spans="1:9" ht="85.5">
      <c r="A10" s="21">
        <v>7</v>
      </c>
      <c r="B10" s="23" t="s">
        <v>248</v>
      </c>
      <c r="C10" s="42" t="s">
        <v>103</v>
      </c>
      <c r="D10" s="21">
        <v>4</v>
      </c>
      <c r="E10" s="43">
        <v>21.25</v>
      </c>
      <c r="F10" s="44">
        <f t="shared" si="1"/>
        <v>85</v>
      </c>
    </row>
    <row r="11" spans="1:9" ht="114">
      <c r="A11" s="21">
        <v>8</v>
      </c>
      <c r="B11" s="23" t="s">
        <v>240</v>
      </c>
      <c r="C11" s="42" t="s">
        <v>103</v>
      </c>
      <c r="D11" s="21">
        <v>48</v>
      </c>
      <c r="E11" s="43">
        <v>5.94</v>
      </c>
      <c r="F11" s="44">
        <f t="shared" si="1"/>
        <v>285.12</v>
      </c>
    </row>
    <row r="12" spans="1:9" ht="57">
      <c r="A12" s="21">
        <v>9</v>
      </c>
      <c r="B12" s="23" t="s">
        <v>241</v>
      </c>
      <c r="C12" s="42" t="s">
        <v>103</v>
      </c>
      <c r="D12" s="21">
        <v>4</v>
      </c>
      <c r="E12" s="43">
        <v>18.489999999999998</v>
      </c>
      <c r="F12" s="44">
        <f t="shared" si="1"/>
        <v>73.959999999999994</v>
      </c>
    </row>
    <row r="13" spans="1:9">
      <c r="A13" s="198" t="s">
        <v>104</v>
      </c>
      <c r="B13" s="198"/>
      <c r="C13" s="198"/>
      <c r="D13" s="198"/>
      <c r="E13" s="198"/>
      <c r="F13" s="45">
        <f>SUM(F4:F12)</f>
        <v>2627.88</v>
      </c>
    </row>
    <row r="14" spans="1:9">
      <c r="A14" s="199" t="s">
        <v>130</v>
      </c>
      <c r="B14" s="199"/>
      <c r="C14" s="199"/>
      <c r="D14" s="199"/>
      <c r="E14" s="199"/>
      <c r="F14" s="46">
        <f>F13/12</f>
        <v>218.99</v>
      </c>
    </row>
    <row r="17" spans="1:6">
      <c r="A17" s="200" t="s">
        <v>252</v>
      </c>
      <c r="B17" s="200"/>
      <c r="C17" s="200"/>
      <c r="D17" s="200"/>
      <c r="E17" s="200"/>
      <c r="F17" s="200"/>
    </row>
    <row r="18" spans="1:6">
      <c r="A18" s="198" t="s">
        <v>1</v>
      </c>
      <c r="B18" s="198" t="s">
        <v>2</v>
      </c>
      <c r="C18" s="198" t="s">
        <v>100</v>
      </c>
      <c r="D18" s="198" t="s">
        <v>101</v>
      </c>
      <c r="E18" s="198" t="s">
        <v>102</v>
      </c>
      <c r="F18" s="198" t="s">
        <v>105</v>
      </c>
    </row>
    <row r="19" spans="1:6">
      <c r="A19" s="198"/>
      <c r="B19" s="198"/>
      <c r="C19" s="198"/>
      <c r="D19" s="198"/>
      <c r="E19" s="198"/>
      <c r="F19" s="198"/>
    </row>
    <row r="20" spans="1:6" ht="42.75">
      <c r="A20" s="21">
        <v>1</v>
      </c>
      <c r="B20" s="111" t="s">
        <v>255</v>
      </c>
      <c r="C20" s="42" t="s">
        <v>103</v>
      </c>
      <c r="D20" s="21">
        <v>4</v>
      </c>
      <c r="E20" s="43">
        <v>82.4</v>
      </c>
      <c r="F20" s="44">
        <f>D20*E20</f>
        <v>329.6</v>
      </c>
    </row>
    <row r="21" spans="1:6" ht="28.5">
      <c r="A21" s="21">
        <f t="shared" ref="A21:A26" si="2">1+A20</f>
        <v>2</v>
      </c>
      <c r="B21" s="23" t="s">
        <v>256</v>
      </c>
      <c r="C21" s="42" t="s">
        <v>242</v>
      </c>
      <c r="D21" s="21">
        <v>4</v>
      </c>
      <c r="E21" s="43">
        <v>69.53</v>
      </c>
      <c r="F21" s="44">
        <f t="shared" ref="F21:F30" si="3">D21*E21</f>
        <v>278.12</v>
      </c>
    </row>
    <row r="22" spans="1:6">
      <c r="A22" s="21">
        <f t="shared" si="2"/>
        <v>3</v>
      </c>
      <c r="B22" s="23" t="s">
        <v>257</v>
      </c>
      <c r="C22" s="42" t="s">
        <v>242</v>
      </c>
      <c r="D22" s="21">
        <v>4</v>
      </c>
      <c r="E22" s="43">
        <v>23.86</v>
      </c>
      <c r="F22" s="44">
        <f t="shared" si="3"/>
        <v>95.44</v>
      </c>
    </row>
    <row r="23" spans="1:6" ht="85.5">
      <c r="A23" s="21">
        <f t="shared" si="2"/>
        <v>4</v>
      </c>
      <c r="B23" s="23" t="s">
        <v>248</v>
      </c>
      <c r="C23" s="42" t="s">
        <v>103</v>
      </c>
      <c r="D23" s="21">
        <v>2</v>
      </c>
      <c r="E23" s="43">
        <v>21.25</v>
      </c>
      <c r="F23" s="44">
        <f t="shared" ref="F23" si="4">D23*E23</f>
        <v>42.5</v>
      </c>
    </row>
    <row r="24" spans="1:6">
      <c r="A24" s="21">
        <f t="shared" si="2"/>
        <v>5</v>
      </c>
      <c r="B24" s="23" t="s">
        <v>243</v>
      </c>
      <c r="C24" s="42" t="s">
        <v>103</v>
      </c>
      <c r="D24" s="21">
        <v>2</v>
      </c>
      <c r="E24" s="43">
        <v>65.16</v>
      </c>
      <c r="F24" s="44">
        <f t="shared" ref="F24:F29" si="5">D24*E24</f>
        <v>130.32</v>
      </c>
    </row>
    <row r="25" spans="1:6">
      <c r="A25" s="21">
        <f t="shared" si="2"/>
        <v>6</v>
      </c>
      <c r="B25" s="23" t="s">
        <v>244</v>
      </c>
      <c r="C25" s="42" t="s">
        <v>103</v>
      </c>
      <c r="D25" s="21">
        <v>2</v>
      </c>
      <c r="E25" s="43">
        <v>70.849999999999994</v>
      </c>
      <c r="F25" s="44">
        <f t="shared" si="5"/>
        <v>141.69999999999999</v>
      </c>
    </row>
    <row r="26" spans="1:6">
      <c r="A26" s="21">
        <f t="shared" si="2"/>
        <v>7</v>
      </c>
      <c r="B26" s="23" t="s">
        <v>246</v>
      </c>
      <c r="C26" s="42" t="s">
        <v>103</v>
      </c>
      <c r="D26" s="21">
        <v>2</v>
      </c>
      <c r="E26" s="43">
        <v>18.489999999999998</v>
      </c>
      <c r="F26" s="44">
        <f t="shared" si="5"/>
        <v>36.979999999999997</v>
      </c>
    </row>
    <row r="27" spans="1:6">
      <c r="A27" s="21">
        <v>8</v>
      </c>
      <c r="B27" s="23" t="s">
        <v>245</v>
      </c>
      <c r="C27" s="42" t="s">
        <v>103</v>
      </c>
      <c r="D27" s="21">
        <v>2</v>
      </c>
      <c r="E27" s="43">
        <v>25.03</v>
      </c>
      <c r="F27" s="44">
        <f t="shared" si="5"/>
        <v>50.06</v>
      </c>
    </row>
    <row r="28" spans="1:6">
      <c r="A28" s="21">
        <v>9</v>
      </c>
      <c r="B28" s="23" t="s">
        <v>247</v>
      </c>
      <c r="C28" s="42" t="s">
        <v>103</v>
      </c>
      <c r="D28" s="21">
        <v>2</v>
      </c>
      <c r="E28" s="43">
        <v>38.130000000000003</v>
      </c>
      <c r="F28" s="44">
        <f t="shared" si="5"/>
        <v>76.260000000000005</v>
      </c>
    </row>
    <row r="29" spans="1:6">
      <c r="A29" s="21"/>
      <c r="B29" s="23" t="s">
        <v>249</v>
      </c>
      <c r="C29" s="42" t="s">
        <v>103</v>
      </c>
      <c r="D29" s="21">
        <v>252</v>
      </c>
      <c r="E29" s="43">
        <v>5.94</v>
      </c>
      <c r="F29" s="44">
        <f t="shared" si="5"/>
        <v>1496.88</v>
      </c>
    </row>
    <row r="30" spans="1:6" ht="44.25" customHeight="1">
      <c r="A30" s="21">
        <v>10</v>
      </c>
      <c r="B30" s="23" t="s">
        <v>250</v>
      </c>
      <c r="C30" s="42" t="s">
        <v>242</v>
      </c>
      <c r="D30" s="21">
        <v>2</v>
      </c>
      <c r="E30" s="43">
        <v>16.75</v>
      </c>
      <c r="F30" s="44">
        <f t="shared" si="3"/>
        <v>33.5</v>
      </c>
    </row>
    <row r="31" spans="1:6">
      <c r="A31" s="198" t="s">
        <v>104</v>
      </c>
      <c r="B31" s="198"/>
      <c r="C31" s="198"/>
      <c r="D31" s="198"/>
      <c r="E31" s="198"/>
      <c r="F31" s="45">
        <f>SUM(F20:F30)</f>
        <v>2711.36</v>
      </c>
    </row>
    <row r="32" spans="1:6">
      <c r="A32" s="199" t="s">
        <v>130</v>
      </c>
      <c r="B32" s="199"/>
      <c r="C32" s="199"/>
      <c r="D32" s="199"/>
      <c r="E32" s="199"/>
      <c r="F32" s="46">
        <f>F31/12</f>
        <v>225.94666666666669</v>
      </c>
    </row>
    <row r="35" spans="1:6">
      <c r="A35" s="200" t="s">
        <v>253</v>
      </c>
      <c r="B35" s="200"/>
      <c r="C35" s="200"/>
      <c r="D35" s="200"/>
      <c r="E35" s="200"/>
      <c r="F35" s="200"/>
    </row>
    <row r="36" spans="1:6" ht="14.25" customHeight="1">
      <c r="A36" s="198" t="s">
        <v>1</v>
      </c>
      <c r="B36" s="198" t="s">
        <v>2</v>
      </c>
      <c r="C36" s="198" t="s">
        <v>100</v>
      </c>
      <c r="D36" s="198" t="s">
        <v>101</v>
      </c>
      <c r="E36" s="198" t="s">
        <v>102</v>
      </c>
      <c r="F36" s="198" t="s">
        <v>105</v>
      </c>
    </row>
    <row r="37" spans="1:6">
      <c r="A37" s="198"/>
      <c r="B37" s="198"/>
      <c r="C37" s="198"/>
      <c r="D37" s="198"/>
      <c r="E37" s="198"/>
      <c r="F37" s="198"/>
    </row>
    <row r="38" spans="1:6" ht="42.75">
      <c r="A38" s="21">
        <v>1</v>
      </c>
      <c r="B38" s="23" t="s">
        <v>255</v>
      </c>
      <c r="C38" s="42" t="s">
        <v>103</v>
      </c>
      <c r="D38" s="21">
        <v>8</v>
      </c>
      <c r="E38" s="43">
        <v>88.3</v>
      </c>
      <c r="F38" s="44">
        <f>D38*E38</f>
        <v>706.4</v>
      </c>
    </row>
    <row r="39" spans="1:6" ht="28.5">
      <c r="A39" s="21">
        <f t="shared" ref="A39:A40" si="6">1+A38</f>
        <v>2</v>
      </c>
      <c r="B39" s="23" t="s">
        <v>265</v>
      </c>
      <c r="C39" s="42" t="s">
        <v>242</v>
      </c>
      <c r="D39" s="21">
        <v>8</v>
      </c>
      <c r="E39" s="43">
        <v>86.44</v>
      </c>
      <c r="F39" s="44">
        <f t="shared" ref="F39:F44" si="7">D39*E39</f>
        <v>691.52</v>
      </c>
    </row>
    <row r="40" spans="1:6">
      <c r="A40" s="21">
        <f t="shared" si="6"/>
        <v>3</v>
      </c>
      <c r="B40" s="23" t="s">
        <v>260</v>
      </c>
      <c r="C40" s="42" t="s">
        <v>242</v>
      </c>
      <c r="D40" s="21">
        <v>8</v>
      </c>
      <c r="E40" s="43">
        <v>23.86</v>
      </c>
      <c r="F40" s="44">
        <f t="shared" si="7"/>
        <v>190.88</v>
      </c>
    </row>
    <row r="41" spans="1:6">
      <c r="A41" s="21">
        <v>4</v>
      </c>
      <c r="B41" s="23" t="s">
        <v>258</v>
      </c>
      <c r="C41" s="42" t="s">
        <v>103</v>
      </c>
      <c r="D41" s="21">
        <v>8</v>
      </c>
      <c r="E41" s="43">
        <v>33.549999999999997</v>
      </c>
      <c r="F41" s="44">
        <f t="shared" si="7"/>
        <v>268.39999999999998</v>
      </c>
    </row>
    <row r="42" spans="1:6">
      <c r="A42" s="21">
        <v>5</v>
      </c>
      <c r="B42" s="23" t="s">
        <v>261</v>
      </c>
      <c r="C42" s="42" t="s">
        <v>242</v>
      </c>
      <c r="D42" s="21">
        <v>8</v>
      </c>
      <c r="E42" s="43">
        <v>23.09</v>
      </c>
      <c r="F42" s="44">
        <f t="shared" si="7"/>
        <v>184.72</v>
      </c>
    </row>
    <row r="43" spans="1:6" ht="42.75">
      <c r="A43" s="21">
        <v>6</v>
      </c>
      <c r="B43" s="23" t="s">
        <v>259</v>
      </c>
      <c r="C43" s="42" t="s">
        <v>103</v>
      </c>
      <c r="D43" s="21">
        <v>8</v>
      </c>
      <c r="E43" s="43">
        <v>11.83</v>
      </c>
      <c r="F43" s="44">
        <f t="shared" si="7"/>
        <v>94.64</v>
      </c>
    </row>
    <row r="44" spans="1:6" ht="85.5">
      <c r="A44" s="21">
        <v>8</v>
      </c>
      <c r="B44" s="23" t="s">
        <v>248</v>
      </c>
      <c r="C44" s="42" t="s">
        <v>103</v>
      </c>
      <c r="D44" s="21">
        <v>4</v>
      </c>
      <c r="E44" s="43">
        <v>21.25</v>
      </c>
      <c r="F44" s="44">
        <f t="shared" si="7"/>
        <v>85</v>
      </c>
    </row>
    <row r="45" spans="1:6">
      <c r="A45" s="198" t="s">
        <v>104</v>
      </c>
      <c r="B45" s="198"/>
      <c r="C45" s="198"/>
      <c r="D45" s="198"/>
      <c r="E45" s="198"/>
      <c r="F45" s="45">
        <f>SUM(F38:F44)</f>
        <v>2221.5600000000004</v>
      </c>
    </row>
    <row r="46" spans="1:6">
      <c r="A46" s="199" t="s">
        <v>130</v>
      </c>
      <c r="B46" s="199"/>
      <c r="C46" s="199"/>
      <c r="D46" s="199"/>
      <c r="E46" s="199"/>
      <c r="F46" s="46">
        <f>F45/12</f>
        <v>185.13000000000002</v>
      </c>
    </row>
    <row r="49" spans="1:6">
      <c r="A49" s="200" t="s">
        <v>254</v>
      </c>
      <c r="B49" s="200"/>
      <c r="C49" s="200"/>
      <c r="D49" s="200"/>
      <c r="E49" s="200"/>
      <c r="F49" s="200"/>
    </row>
    <row r="50" spans="1:6">
      <c r="A50" s="198" t="s">
        <v>1</v>
      </c>
      <c r="B50" s="198" t="s">
        <v>2</v>
      </c>
      <c r="C50" s="198" t="s">
        <v>100</v>
      </c>
      <c r="D50" s="198" t="s">
        <v>101</v>
      </c>
      <c r="E50" s="198" t="s">
        <v>102</v>
      </c>
      <c r="F50" s="198" t="s">
        <v>105</v>
      </c>
    </row>
    <row r="51" spans="1:6">
      <c r="A51" s="198"/>
      <c r="B51" s="198"/>
      <c r="C51" s="198"/>
      <c r="D51" s="198"/>
      <c r="E51" s="198"/>
      <c r="F51" s="198"/>
    </row>
    <row r="52" spans="1:6" ht="42.75">
      <c r="A52" s="21">
        <v>1</v>
      </c>
      <c r="B52" s="23" t="s">
        <v>267</v>
      </c>
      <c r="C52" s="42" t="s">
        <v>103</v>
      </c>
      <c r="D52" s="21">
        <v>8</v>
      </c>
      <c r="E52" s="43">
        <v>187.57</v>
      </c>
      <c r="F52" s="44">
        <f>D52*E52</f>
        <v>1500.56</v>
      </c>
    </row>
    <row r="53" spans="1:6">
      <c r="A53" s="21">
        <f t="shared" ref="A53:A57" si="8">1+A52</f>
        <v>2</v>
      </c>
      <c r="B53" s="23" t="s">
        <v>262</v>
      </c>
      <c r="C53" s="42" t="s">
        <v>103</v>
      </c>
      <c r="D53" s="21">
        <v>8</v>
      </c>
      <c r="E53" s="43">
        <v>31.3</v>
      </c>
      <c r="F53" s="44">
        <f t="shared" ref="F53:F57" si="9">D53*E53</f>
        <v>250.4</v>
      </c>
    </row>
    <row r="54" spans="1:6">
      <c r="A54" s="21">
        <f t="shared" si="8"/>
        <v>3</v>
      </c>
      <c r="B54" s="23" t="s">
        <v>263</v>
      </c>
      <c r="C54" s="42" t="s">
        <v>103</v>
      </c>
      <c r="D54" s="21">
        <v>8</v>
      </c>
      <c r="E54" s="43">
        <v>33.549999999999997</v>
      </c>
      <c r="F54" s="44">
        <f t="shared" si="9"/>
        <v>268.39999999999998</v>
      </c>
    </row>
    <row r="55" spans="1:6" ht="28.5">
      <c r="A55" s="21">
        <f t="shared" si="8"/>
        <v>4</v>
      </c>
      <c r="B55" s="23" t="s">
        <v>264</v>
      </c>
      <c r="C55" s="42" t="s">
        <v>242</v>
      </c>
      <c r="D55" s="21">
        <v>8</v>
      </c>
      <c r="E55" s="43">
        <v>60.26</v>
      </c>
      <c r="F55" s="44">
        <f t="shared" si="9"/>
        <v>482.08</v>
      </c>
    </row>
    <row r="56" spans="1:6">
      <c r="A56" s="21">
        <f t="shared" si="8"/>
        <v>5</v>
      </c>
      <c r="B56" s="23" t="s">
        <v>268</v>
      </c>
      <c r="C56" s="42" t="s">
        <v>242</v>
      </c>
      <c r="D56" s="21">
        <v>8</v>
      </c>
      <c r="E56" s="43">
        <v>23.86</v>
      </c>
      <c r="F56" s="44">
        <f t="shared" si="9"/>
        <v>190.88</v>
      </c>
    </row>
    <row r="57" spans="1:6">
      <c r="A57" s="21">
        <f t="shared" si="8"/>
        <v>6</v>
      </c>
      <c r="B57" s="23" t="s">
        <v>343</v>
      </c>
      <c r="C57" s="42" t="s">
        <v>242</v>
      </c>
      <c r="D57" s="21">
        <v>8</v>
      </c>
      <c r="E57" s="43">
        <v>23.09</v>
      </c>
      <c r="F57" s="44">
        <f t="shared" si="9"/>
        <v>184.72</v>
      </c>
    </row>
    <row r="58" spans="1:6">
      <c r="A58" s="198" t="s">
        <v>104</v>
      </c>
      <c r="B58" s="198"/>
      <c r="C58" s="198"/>
      <c r="D58" s="198"/>
      <c r="E58" s="198"/>
      <c r="F58" s="45">
        <f>SUM(F52:F57)</f>
        <v>2877.04</v>
      </c>
    </row>
    <row r="59" spans="1:6">
      <c r="A59" s="199" t="s">
        <v>130</v>
      </c>
      <c r="B59" s="199"/>
      <c r="C59" s="199"/>
      <c r="D59" s="199"/>
      <c r="E59" s="199"/>
      <c r="F59" s="46">
        <f>F58/12</f>
        <v>239.75333333333333</v>
      </c>
    </row>
  </sheetData>
  <mergeCells count="36">
    <mergeCell ref="A58:E58"/>
    <mergeCell ref="A59:E59"/>
    <mergeCell ref="A45:E45"/>
    <mergeCell ref="A46:E46"/>
    <mergeCell ref="A49:F49"/>
    <mergeCell ref="A50:A51"/>
    <mergeCell ref="B50:B51"/>
    <mergeCell ref="C50:C51"/>
    <mergeCell ref="D50:D51"/>
    <mergeCell ref="E50:E51"/>
    <mergeCell ref="F50:F51"/>
    <mergeCell ref="A31:E31"/>
    <mergeCell ref="A32:E32"/>
    <mergeCell ref="A35:F35"/>
    <mergeCell ref="A36:A37"/>
    <mergeCell ref="B36:B37"/>
    <mergeCell ref="C36:C37"/>
    <mergeCell ref="D36:D37"/>
    <mergeCell ref="E36:E37"/>
    <mergeCell ref="F36:F37"/>
    <mergeCell ref="A17:F17"/>
    <mergeCell ref="A18:A19"/>
    <mergeCell ref="B18:B19"/>
    <mergeCell ref="C18:C19"/>
    <mergeCell ref="D18:D19"/>
    <mergeCell ref="E18:E19"/>
    <mergeCell ref="F18:F19"/>
    <mergeCell ref="A13:E13"/>
    <mergeCell ref="A14:E14"/>
    <mergeCell ref="A1:F1"/>
    <mergeCell ref="A2:A3"/>
    <mergeCell ref="B2:B3"/>
    <mergeCell ref="C2:C3"/>
    <mergeCell ref="D2:D3"/>
    <mergeCell ref="E2:E3"/>
    <mergeCell ref="F2:F3"/>
  </mergeCells>
  <pageMargins left="1.1023622047244099" right="0.70866141732283516" top="1.5640625000000001" bottom="0.95447916666666721" header="0.31496062992126012" footer="0.31496062992126012"/>
  <pageSetup paperSize="9" scale="60" fitToWidth="0" fitToHeight="0" orientation="portrait" r:id="rId1"/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E0EFF-6292-456B-98EA-DB5961A2EC1D}">
  <dimension ref="A1:I59"/>
  <sheetViews>
    <sheetView view="pageBreakPreview" topLeftCell="A28" zoomScaleNormal="100" zoomScaleSheetLayoutView="100" workbookViewId="0">
      <selection activeCell="F24" sqref="F24"/>
    </sheetView>
  </sheetViews>
  <sheetFormatPr defaultColWidth="9.140625" defaultRowHeight="14.25"/>
  <cols>
    <col min="1" max="1" width="10.85546875" style="2" customWidth="1"/>
    <col min="2" max="2" width="48.28515625" style="2" customWidth="1"/>
    <col min="3" max="3" width="9.28515625" style="2" customWidth="1"/>
    <col min="4" max="4" width="10.42578125" style="2" customWidth="1"/>
    <col min="5" max="5" width="18.28515625" style="2" customWidth="1"/>
    <col min="6" max="6" width="20" style="2" bestFit="1" customWidth="1"/>
    <col min="7" max="11" width="9.140625" style="2" customWidth="1"/>
    <col min="12" max="12" width="13" style="2" customWidth="1"/>
    <col min="13" max="13" width="9.140625" style="2" customWidth="1"/>
    <col min="14" max="16384" width="9.140625" style="2"/>
  </cols>
  <sheetData>
    <row r="1" spans="1:6" ht="15" thickBot="1">
      <c r="A1" s="209" t="s">
        <v>338</v>
      </c>
      <c r="B1" s="209"/>
      <c r="C1" s="209"/>
      <c r="D1" s="209"/>
      <c r="E1" s="209"/>
      <c r="F1" s="209"/>
    </row>
    <row r="2" spans="1:6" ht="15" thickBot="1">
      <c r="A2" s="207" t="s">
        <v>1</v>
      </c>
      <c r="B2" s="208" t="s">
        <v>2</v>
      </c>
      <c r="C2" s="208" t="s">
        <v>100</v>
      </c>
      <c r="D2" s="208" t="s">
        <v>107</v>
      </c>
      <c r="E2" s="208" t="s">
        <v>102</v>
      </c>
      <c r="F2" s="205" t="s">
        <v>108</v>
      </c>
    </row>
    <row r="3" spans="1:6">
      <c r="A3" s="207"/>
      <c r="B3" s="208"/>
      <c r="C3" s="208"/>
      <c r="D3" s="208"/>
      <c r="E3" s="208"/>
      <c r="F3" s="205"/>
    </row>
    <row r="4" spans="1:6">
      <c r="A4" s="7">
        <v>1</v>
      </c>
      <c r="B4" s="1" t="s">
        <v>312</v>
      </c>
      <c r="C4" s="7" t="s">
        <v>271</v>
      </c>
      <c r="D4" s="5">
        <v>240</v>
      </c>
      <c r="E4" s="54">
        <v>142.97999999999999</v>
      </c>
      <c r="F4" s="48">
        <f t="shared" ref="F4:F21" si="0">D4*E4</f>
        <v>34315.199999999997</v>
      </c>
    </row>
    <row r="5" spans="1:6">
      <c r="A5" s="7">
        <f t="shared" ref="A5:A11" si="1">1+A4</f>
        <v>2</v>
      </c>
      <c r="B5" s="1" t="s">
        <v>313</v>
      </c>
      <c r="C5" s="7" t="s">
        <v>272</v>
      </c>
      <c r="D5" s="5">
        <v>24</v>
      </c>
      <c r="E5" s="54">
        <v>102.82</v>
      </c>
      <c r="F5" s="48">
        <f t="shared" si="0"/>
        <v>2467.6799999999998</v>
      </c>
    </row>
    <row r="6" spans="1:6">
      <c r="A6" s="7">
        <f t="shared" si="1"/>
        <v>3</v>
      </c>
      <c r="B6" s="1" t="s">
        <v>273</v>
      </c>
      <c r="C6" s="7" t="s">
        <v>103</v>
      </c>
      <c r="D6" s="5">
        <v>450</v>
      </c>
      <c r="E6" s="54">
        <v>7.72</v>
      </c>
      <c r="F6" s="48">
        <f t="shared" si="0"/>
        <v>3474</v>
      </c>
    </row>
    <row r="7" spans="1:6">
      <c r="A7" s="7">
        <v>4</v>
      </c>
      <c r="B7" s="1" t="s">
        <v>274</v>
      </c>
      <c r="C7" s="7" t="s">
        <v>103</v>
      </c>
      <c r="D7" s="5">
        <v>48</v>
      </c>
      <c r="E7" s="54">
        <v>11.67</v>
      </c>
      <c r="F7" s="48">
        <f t="shared" si="0"/>
        <v>560.16</v>
      </c>
    </row>
    <row r="8" spans="1:6">
      <c r="A8" s="7">
        <f t="shared" si="1"/>
        <v>5</v>
      </c>
      <c r="B8" s="1" t="s">
        <v>275</v>
      </c>
      <c r="C8" s="7" t="s">
        <v>103</v>
      </c>
      <c r="D8" s="5">
        <v>24</v>
      </c>
      <c r="E8" s="53">
        <v>4.83</v>
      </c>
      <c r="F8" s="48">
        <f t="shared" si="0"/>
        <v>115.92</v>
      </c>
    </row>
    <row r="9" spans="1:6">
      <c r="A9" s="7">
        <f t="shared" si="1"/>
        <v>6</v>
      </c>
      <c r="B9" s="113" t="s">
        <v>276</v>
      </c>
      <c r="C9" s="7" t="s">
        <v>103</v>
      </c>
      <c r="D9" s="5">
        <v>24</v>
      </c>
      <c r="E9" s="53">
        <v>3.8</v>
      </c>
      <c r="F9" s="48">
        <f t="shared" si="0"/>
        <v>91.199999999999989</v>
      </c>
    </row>
    <row r="10" spans="1:6">
      <c r="A10" s="47">
        <f t="shared" si="1"/>
        <v>7</v>
      </c>
      <c r="B10" s="130" t="s">
        <v>277</v>
      </c>
      <c r="C10" s="112" t="s">
        <v>103</v>
      </c>
      <c r="D10" s="5">
        <v>60</v>
      </c>
      <c r="E10" s="54">
        <v>18.46</v>
      </c>
      <c r="F10" s="48">
        <f t="shared" si="0"/>
        <v>1107.6000000000001</v>
      </c>
    </row>
    <row r="11" spans="1:6">
      <c r="A11" s="7">
        <f t="shared" si="1"/>
        <v>8</v>
      </c>
      <c r="B11" s="126" t="s">
        <v>339</v>
      </c>
      <c r="C11" s="7" t="s">
        <v>103</v>
      </c>
      <c r="D11" s="5">
        <v>48</v>
      </c>
      <c r="E11" s="54">
        <v>61.86</v>
      </c>
      <c r="F11" s="48">
        <f t="shared" si="0"/>
        <v>2969.2799999999997</v>
      </c>
    </row>
    <row r="12" spans="1:6">
      <c r="A12" s="7">
        <v>9</v>
      </c>
      <c r="B12" s="113" t="s">
        <v>314</v>
      </c>
      <c r="C12" s="7" t="s">
        <v>103</v>
      </c>
      <c r="D12" s="5">
        <v>48</v>
      </c>
      <c r="E12" s="54">
        <v>14</v>
      </c>
      <c r="F12" s="48">
        <f t="shared" si="0"/>
        <v>672</v>
      </c>
    </row>
    <row r="13" spans="1:6">
      <c r="A13" s="47">
        <v>10</v>
      </c>
      <c r="B13" s="130" t="s">
        <v>278</v>
      </c>
      <c r="C13" s="112" t="s">
        <v>103</v>
      </c>
      <c r="D13" s="5">
        <v>24</v>
      </c>
      <c r="E13" s="54">
        <v>67.58</v>
      </c>
      <c r="F13" s="48">
        <f t="shared" si="0"/>
        <v>1621.92</v>
      </c>
    </row>
    <row r="14" spans="1:6">
      <c r="A14" s="47">
        <v>11</v>
      </c>
      <c r="B14" s="130" t="s">
        <v>279</v>
      </c>
      <c r="C14" s="112" t="s">
        <v>103</v>
      </c>
      <c r="D14" s="5">
        <v>6</v>
      </c>
      <c r="E14" s="54">
        <v>60.75</v>
      </c>
      <c r="F14" s="48">
        <f t="shared" si="0"/>
        <v>364.5</v>
      </c>
    </row>
    <row r="15" spans="1:6">
      <c r="A15" s="47">
        <v>12</v>
      </c>
      <c r="B15" s="130" t="s">
        <v>280</v>
      </c>
      <c r="C15" s="112" t="s">
        <v>103</v>
      </c>
      <c r="D15" s="5">
        <v>24</v>
      </c>
      <c r="E15" s="54">
        <v>14.71</v>
      </c>
      <c r="F15" s="48">
        <f t="shared" si="0"/>
        <v>353.04</v>
      </c>
    </row>
    <row r="16" spans="1:6">
      <c r="A16" s="7">
        <v>13</v>
      </c>
      <c r="B16" s="116" t="s">
        <v>281</v>
      </c>
      <c r="C16" s="7" t="s">
        <v>103</v>
      </c>
      <c r="D16" s="5">
        <v>60</v>
      </c>
      <c r="E16" s="54">
        <v>12.62</v>
      </c>
      <c r="F16" s="48">
        <f t="shared" si="0"/>
        <v>757.19999999999993</v>
      </c>
    </row>
    <row r="17" spans="1:9">
      <c r="A17" s="47">
        <v>14</v>
      </c>
      <c r="B17" s="130" t="s">
        <v>282</v>
      </c>
      <c r="C17" s="112" t="s">
        <v>103</v>
      </c>
      <c r="D17" s="5">
        <v>24</v>
      </c>
      <c r="E17" s="54">
        <v>14.86</v>
      </c>
      <c r="F17" s="48">
        <f t="shared" si="0"/>
        <v>356.64</v>
      </c>
    </row>
    <row r="18" spans="1:9">
      <c r="A18" s="7">
        <v>15</v>
      </c>
      <c r="B18" s="116" t="s">
        <v>285</v>
      </c>
      <c r="C18" s="7" t="s">
        <v>103</v>
      </c>
      <c r="D18" s="5">
        <v>4</v>
      </c>
      <c r="E18" s="54">
        <v>25.06</v>
      </c>
      <c r="F18" s="48">
        <f t="shared" si="0"/>
        <v>100.24</v>
      </c>
    </row>
    <row r="19" spans="1:9">
      <c r="A19" s="47">
        <v>16</v>
      </c>
      <c r="B19" s="130" t="s">
        <v>286</v>
      </c>
      <c r="C19" s="112" t="s">
        <v>103</v>
      </c>
      <c r="D19" s="5">
        <v>4</v>
      </c>
      <c r="E19" s="54">
        <v>42.42</v>
      </c>
      <c r="F19" s="48">
        <f t="shared" si="0"/>
        <v>169.68</v>
      </c>
    </row>
    <row r="20" spans="1:9">
      <c r="A20" s="47">
        <v>17</v>
      </c>
      <c r="B20" s="130" t="s">
        <v>287</v>
      </c>
      <c r="C20" s="112" t="s">
        <v>103</v>
      </c>
      <c r="D20" s="5">
        <v>6</v>
      </c>
      <c r="E20" s="54">
        <v>23.1</v>
      </c>
      <c r="F20" s="48">
        <f t="shared" si="0"/>
        <v>138.60000000000002</v>
      </c>
    </row>
    <row r="21" spans="1:9">
      <c r="A21" s="47">
        <v>18</v>
      </c>
      <c r="B21" s="130" t="s">
        <v>288</v>
      </c>
      <c r="C21" s="112" t="s">
        <v>103</v>
      </c>
      <c r="D21" s="5">
        <v>6</v>
      </c>
      <c r="E21" s="54">
        <v>13.67</v>
      </c>
      <c r="F21" s="48">
        <f t="shared" si="0"/>
        <v>82.02</v>
      </c>
    </row>
    <row r="22" spans="1:9">
      <c r="A22" s="203" t="s">
        <v>104</v>
      </c>
      <c r="B22" s="201"/>
      <c r="C22" s="201"/>
      <c r="D22" s="201"/>
      <c r="E22" s="202"/>
      <c r="F22" s="65">
        <f>SUM(F4:F21)</f>
        <v>49716.879999999983</v>
      </c>
      <c r="I22" s="22"/>
    </row>
    <row r="23" spans="1:9">
      <c r="A23" s="201" t="s">
        <v>344</v>
      </c>
      <c r="B23" s="201"/>
      <c r="C23" s="201"/>
      <c r="D23" s="201"/>
      <c r="E23" s="202"/>
      <c r="F23" s="65">
        <f>F22/12</f>
        <v>4143.0733333333319</v>
      </c>
      <c r="I23" s="22"/>
    </row>
    <row r="24" spans="1:9">
      <c r="A24" s="210" t="s">
        <v>133</v>
      </c>
      <c r="B24" s="210"/>
      <c r="C24" s="210"/>
      <c r="D24" s="210"/>
      <c r="E24" s="210"/>
      <c r="F24" s="49">
        <v>4</v>
      </c>
      <c r="I24" s="22"/>
    </row>
    <row r="25" spans="1:9">
      <c r="A25" s="199" t="s">
        <v>269</v>
      </c>
      <c r="B25" s="199"/>
      <c r="C25" s="199"/>
      <c r="D25" s="199"/>
      <c r="E25" s="199"/>
      <c r="F25" s="67">
        <f>F23/F24</f>
        <v>1035.768333333333</v>
      </c>
      <c r="I25" s="22"/>
    </row>
    <row r="26" spans="1:9" ht="15" thickBot="1"/>
    <row r="27" spans="1:9" ht="15" thickBot="1">
      <c r="A27" s="207" t="s">
        <v>1</v>
      </c>
      <c r="B27" s="208" t="s">
        <v>2</v>
      </c>
      <c r="C27" s="208" t="s">
        <v>100</v>
      </c>
      <c r="D27" s="208" t="s">
        <v>107</v>
      </c>
      <c r="E27" s="208" t="s">
        <v>102</v>
      </c>
      <c r="F27" s="205" t="s">
        <v>108</v>
      </c>
    </row>
    <row r="28" spans="1:9">
      <c r="A28" s="207"/>
      <c r="B28" s="208"/>
      <c r="C28" s="208"/>
      <c r="D28" s="208"/>
      <c r="E28" s="208"/>
      <c r="F28" s="205"/>
    </row>
    <row r="29" spans="1:9" ht="15.75">
      <c r="A29" s="7">
        <v>1</v>
      </c>
      <c r="B29" s="114"/>
      <c r="C29" s="7"/>
      <c r="D29" s="5"/>
      <c r="E29" s="54"/>
      <c r="F29" s="48">
        <f>D29*E29</f>
        <v>0</v>
      </c>
    </row>
    <row r="30" spans="1:9">
      <c r="A30" s="198" t="s">
        <v>104</v>
      </c>
      <c r="B30" s="204"/>
      <c r="C30" s="198"/>
      <c r="D30" s="198"/>
      <c r="E30" s="198"/>
      <c r="F30" s="65">
        <f>SUM(F29:F29)</f>
        <v>0</v>
      </c>
    </row>
    <row r="31" spans="1:9">
      <c r="A31" s="201" t="s">
        <v>344</v>
      </c>
      <c r="B31" s="201"/>
      <c r="C31" s="201"/>
      <c r="D31" s="201"/>
      <c r="E31" s="202"/>
      <c r="F31" s="65">
        <f>F30/12</f>
        <v>0</v>
      </c>
    </row>
    <row r="32" spans="1:9" ht="14.25" customHeight="1">
      <c r="A32" s="206" t="s">
        <v>133</v>
      </c>
      <c r="B32" s="206"/>
      <c r="C32" s="206"/>
      <c r="D32" s="206"/>
      <c r="E32" s="206"/>
      <c r="F32" s="49">
        <f>Resumo!E4</f>
        <v>2</v>
      </c>
    </row>
    <row r="33" spans="1:6">
      <c r="A33" s="199" t="s">
        <v>270</v>
      </c>
      <c r="B33" s="199"/>
      <c r="C33" s="199"/>
      <c r="D33" s="199"/>
      <c r="E33" s="199"/>
      <c r="F33" s="67">
        <f>F31/F32</f>
        <v>0</v>
      </c>
    </row>
    <row r="34" spans="1:6" ht="15" thickBot="1"/>
    <row r="35" spans="1:6" ht="15" thickBot="1">
      <c r="A35" s="207" t="s">
        <v>1</v>
      </c>
      <c r="B35" s="208" t="s">
        <v>2</v>
      </c>
      <c r="C35" s="208" t="s">
        <v>100</v>
      </c>
      <c r="D35" s="208" t="s">
        <v>107</v>
      </c>
      <c r="E35" s="208" t="s">
        <v>102</v>
      </c>
      <c r="F35" s="205" t="s">
        <v>108</v>
      </c>
    </row>
    <row r="36" spans="1:6">
      <c r="A36" s="207"/>
      <c r="B36" s="208"/>
      <c r="C36" s="208"/>
      <c r="D36" s="208"/>
      <c r="E36" s="208"/>
      <c r="F36" s="205"/>
    </row>
    <row r="37" spans="1:6">
      <c r="A37" s="7">
        <v>1</v>
      </c>
      <c r="B37" s="126" t="s">
        <v>289</v>
      </c>
      <c r="C37" s="7" t="s">
        <v>103</v>
      </c>
      <c r="D37" s="5">
        <v>192</v>
      </c>
      <c r="E37" s="54">
        <v>22.43</v>
      </c>
      <c r="F37" s="48">
        <f>D37*E37</f>
        <v>4306.5599999999995</v>
      </c>
    </row>
    <row r="38" spans="1:6" ht="28.5">
      <c r="A38" s="7">
        <f t="shared" ref="A38:A44" si="2">1+A37</f>
        <v>2</v>
      </c>
      <c r="B38" s="4" t="s">
        <v>291</v>
      </c>
      <c r="C38" s="7" t="s">
        <v>103</v>
      </c>
      <c r="D38" s="5">
        <v>550</v>
      </c>
      <c r="E38" s="54">
        <v>41.15</v>
      </c>
      <c r="F38" s="48">
        <f t="shared" ref="F38:F54" si="3">D38*E38</f>
        <v>22632.5</v>
      </c>
    </row>
    <row r="39" spans="1:6">
      <c r="A39" s="7">
        <f t="shared" si="2"/>
        <v>3</v>
      </c>
      <c r="B39" s="1" t="s">
        <v>292</v>
      </c>
      <c r="C39" s="7" t="s">
        <v>103</v>
      </c>
      <c r="D39" s="5">
        <v>252</v>
      </c>
      <c r="E39" s="54">
        <v>12.99</v>
      </c>
      <c r="F39" s="48">
        <f t="shared" si="3"/>
        <v>3273.48</v>
      </c>
    </row>
    <row r="40" spans="1:6">
      <c r="A40" s="7">
        <f t="shared" si="2"/>
        <v>4</v>
      </c>
      <c r="B40" s="126" t="s">
        <v>293</v>
      </c>
      <c r="C40" s="7" t="s">
        <v>103</v>
      </c>
      <c r="D40" s="5">
        <v>120</v>
      </c>
      <c r="E40" s="54">
        <v>11.59</v>
      </c>
      <c r="F40" s="48">
        <f t="shared" si="3"/>
        <v>1390.8</v>
      </c>
    </row>
    <row r="41" spans="1:6" ht="14.25" customHeight="1">
      <c r="A41" s="7">
        <f t="shared" si="2"/>
        <v>5</v>
      </c>
      <c r="B41" s="113" t="s">
        <v>294</v>
      </c>
      <c r="C41" s="7" t="s">
        <v>290</v>
      </c>
      <c r="D41" s="5">
        <v>504</v>
      </c>
      <c r="E41" s="53">
        <v>4.08</v>
      </c>
      <c r="F41" s="48">
        <f t="shared" si="3"/>
        <v>2056.3200000000002</v>
      </c>
    </row>
    <row r="42" spans="1:6" ht="14.25" customHeight="1">
      <c r="A42" s="47">
        <f t="shared" si="2"/>
        <v>6</v>
      </c>
      <c r="B42" s="130" t="s">
        <v>295</v>
      </c>
      <c r="C42" s="112" t="s">
        <v>290</v>
      </c>
      <c r="D42" s="5">
        <v>504</v>
      </c>
      <c r="E42" s="53">
        <v>8.16</v>
      </c>
      <c r="F42" s="48">
        <f t="shared" si="3"/>
        <v>4112.6400000000003</v>
      </c>
    </row>
    <row r="43" spans="1:6" ht="28.5">
      <c r="A43" s="47">
        <f t="shared" si="2"/>
        <v>7</v>
      </c>
      <c r="B43" s="131" t="s">
        <v>296</v>
      </c>
      <c r="C43" s="112" t="s">
        <v>290</v>
      </c>
      <c r="D43" s="5">
        <v>50</v>
      </c>
      <c r="E43" s="54">
        <v>20.010000000000002</v>
      </c>
      <c r="F43" s="48">
        <f t="shared" si="3"/>
        <v>1000.5000000000001</v>
      </c>
    </row>
    <row r="44" spans="1:6">
      <c r="A44" s="7">
        <f t="shared" si="2"/>
        <v>8</v>
      </c>
      <c r="B44" s="115" t="s">
        <v>297</v>
      </c>
      <c r="C44" s="7" t="s">
        <v>103</v>
      </c>
      <c r="D44" s="5">
        <v>8</v>
      </c>
      <c r="E44" s="54">
        <v>6.86</v>
      </c>
      <c r="F44" s="48">
        <f t="shared" si="3"/>
        <v>54.88</v>
      </c>
    </row>
    <row r="45" spans="1:6">
      <c r="A45" s="7">
        <v>10</v>
      </c>
      <c r="B45" s="117" t="s">
        <v>298</v>
      </c>
      <c r="C45" s="7" t="s">
        <v>103</v>
      </c>
      <c r="D45" s="5">
        <v>504</v>
      </c>
      <c r="E45" s="54">
        <v>2.93</v>
      </c>
      <c r="F45" s="48">
        <f t="shared" si="3"/>
        <v>1476.72</v>
      </c>
    </row>
    <row r="46" spans="1:6">
      <c r="A46" s="47">
        <v>11</v>
      </c>
      <c r="B46" s="130" t="s">
        <v>299</v>
      </c>
      <c r="C46" s="112" t="s">
        <v>103</v>
      </c>
      <c r="D46" s="5">
        <v>24</v>
      </c>
      <c r="E46" s="54">
        <v>5.19</v>
      </c>
      <c r="F46" s="48">
        <f t="shared" si="3"/>
        <v>124.56</v>
      </c>
    </row>
    <row r="47" spans="1:6">
      <c r="A47" s="47">
        <v>12</v>
      </c>
      <c r="B47" s="130" t="s">
        <v>300</v>
      </c>
      <c r="C47" s="112" t="s">
        <v>103</v>
      </c>
      <c r="D47" s="5">
        <v>24</v>
      </c>
      <c r="E47" s="54">
        <v>5.63</v>
      </c>
      <c r="F47" s="48">
        <f t="shared" si="3"/>
        <v>135.12</v>
      </c>
    </row>
    <row r="48" spans="1:6">
      <c r="A48" s="47">
        <v>13</v>
      </c>
      <c r="B48" s="130" t="s">
        <v>301</v>
      </c>
      <c r="C48" s="112" t="s">
        <v>290</v>
      </c>
      <c r="D48" s="5">
        <v>12</v>
      </c>
      <c r="E48" s="54">
        <v>21.72</v>
      </c>
      <c r="F48" s="48">
        <f t="shared" si="3"/>
        <v>260.64</v>
      </c>
    </row>
    <row r="49" spans="1:6" s="123" customFormat="1">
      <c r="A49" s="118">
        <v>14</v>
      </c>
      <c r="B49" s="132" t="s">
        <v>302</v>
      </c>
      <c r="C49" s="119" t="s">
        <v>103</v>
      </c>
      <c r="D49" s="120">
        <v>720</v>
      </c>
      <c r="E49" s="121">
        <v>15</v>
      </c>
      <c r="F49" s="122">
        <f t="shared" si="3"/>
        <v>10800</v>
      </c>
    </row>
    <row r="50" spans="1:6">
      <c r="A50" s="47">
        <v>15</v>
      </c>
      <c r="B50" s="130" t="s">
        <v>303</v>
      </c>
      <c r="C50" s="112" t="s">
        <v>103</v>
      </c>
      <c r="D50" s="5">
        <v>48</v>
      </c>
      <c r="E50" s="54">
        <v>5.36</v>
      </c>
      <c r="F50" s="48">
        <f t="shared" si="3"/>
        <v>257.28000000000003</v>
      </c>
    </row>
    <row r="51" spans="1:6">
      <c r="A51" s="47">
        <v>16</v>
      </c>
      <c r="B51" s="130" t="s">
        <v>304</v>
      </c>
      <c r="C51" s="112" t="s">
        <v>103</v>
      </c>
      <c r="D51" s="5">
        <v>48</v>
      </c>
      <c r="E51" s="54">
        <v>10.57</v>
      </c>
      <c r="F51" s="48">
        <f t="shared" si="3"/>
        <v>507.36</v>
      </c>
    </row>
    <row r="52" spans="1:6">
      <c r="A52" s="47">
        <v>17</v>
      </c>
      <c r="B52" s="130" t="s">
        <v>305</v>
      </c>
      <c r="C52" s="112" t="s">
        <v>103</v>
      </c>
      <c r="D52" s="5">
        <v>144</v>
      </c>
      <c r="E52" s="54">
        <v>4.7</v>
      </c>
      <c r="F52" s="48">
        <f t="shared" si="3"/>
        <v>676.80000000000007</v>
      </c>
    </row>
    <row r="53" spans="1:6">
      <c r="A53" s="47">
        <v>18</v>
      </c>
      <c r="B53" s="130" t="s">
        <v>306</v>
      </c>
      <c r="C53" s="112" t="s">
        <v>103</v>
      </c>
      <c r="D53" s="5">
        <v>96</v>
      </c>
      <c r="E53" s="54">
        <v>9.23</v>
      </c>
      <c r="F53" s="48">
        <f t="shared" si="3"/>
        <v>886.08</v>
      </c>
    </row>
    <row r="54" spans="1:6">
      <c r="A54" s="47">
        <v>19</v>
      </c>
      <c r="B54" s="130" t="s">
        <v>307</v>
      </c>
      <c r="C54" s="112" t="s">
        <v>103</v>
      </c>
      <c r="D54" s="5">
        <v>48</v>
      </c>
      <c r="E54" s="54">
        <v>4.83</v>
      </c>
      <c r="F54" s="48">
        <f t="shared" si="3"/>
        <v>231.84</v>
      </c>
    </row>
    <row r="55" spans="1:6">
      <c r="A55" s="47">
        <v>20</v>
      </c>
      <c r="B55" s="130" t="s">
        <v>316</v>
      </c>
      <c r="C55" s="112" t="s">
        <v>103</v>
      </c>
      <c r="D55" s="5">
        <v>48</v>
      </c>
      <c r="E55" s="54">
        <v>18.46</v>
      </c>
      <c r="F55" s="48">
        <f t="shared" ref="F55" si="4">D55*E55</f>
        <v>886.08</v>
      </c>
    </row>
    <row r="56" spans="1:6">
      <c r="A56" s="198" t="s">
        <v>104</v>
      </c>
      <c r="B56" s="204"/>
      <c r="C56" s="198"/>
      <c r="D56" s="198"/>
      <c r="E56" s="198"/>
      <c r="F56" s="65">
        <f>SUM(F37:F55)</f>
        <v>55070.159999999996</v>
      </c>
    </row>
    <row r="57" spans="1:6">
      <c r="A57" s="203" t="s">
        <v>344</v>
      </c>
      <c r="B57" s="201"/>
      <c r="C57" s="201"/>
      <c r="D57" s="201"/>
      <c r="E57" s="202"/>
      <c r="F57" s="65">
        <f>F56/12</f>
        <v>4589.1799999999994</v>
      </c>
    </row>
    <row r="58" spans="1:6">
      <c r="A58" s="200" t="s">
        <v>133</v>
      </c>
      <c r="B58" s="200"/>
      <c r="C58" s="200"/>
      <c r="D58" s="200"/>
      <c r="E58" s="200"/>
      <c r="F58" s="127">
        <v>8</v>
      </c>
    </row>
    <row r="59" spans="1:6">
      <c r="A59" s="199" t="s">
        <v>337</v>
      </c>
      <c r="B59" s="199"/>
      <c r="C59" s="199"/>
      <c r="D59" s="199"/>
      <c r="E59" s="199"/>
      <c r="F59" s="67">
        <f>F57/F58</f>
        <v>573.64749999999992</v>
      </c>
    </row>
  </sheetData>
  <mergeCells count="31">
    <mergeCell ref="A59:E59"/>
    <mergeCell ref="A1:F1"/>
    <mergeCell ref="A2:A3"/>
    <mergeCell ref="B2:B3"/>
    <mergeCell ref="C2:C3"/>
    <mergeCell ref="D2:D3"/>
    <mergeCell ref="E2:E3"/>
    <mergeCell ref="F2:F3"/>
    <mergeCell ref="A22:E22"/>
    <mergeCell ref="A24:E24"/>
    <mergeCell ref="A25:E25"/>
    <mergeCell ref="A27:A28"/>
    <mergeCell ref="B27:B28"/>
    <mergeCell ref="C27:C28"/>
    <mergeCell ref="D27:D28"/>
    <mergeCell ref="E27:E28"/>
    <mergeCell ref="F27:F28"/>
    <mergeCell ref="A30:E30"/>
    <mergeCell ref="A32:E32"/>
    <mergeCell ref="A33:E33"/>
    <mergeCell ref="A35:A36"/>
    <mergeCell ref="B35:B36"/>
    <mergeCell ref="C35:C36"/>
    <mergeCell ref="D35:D36"/>
    <mergeCell ref="E35:E36"/>
    <mergeCell ref="F35:F36"/>
    <mergeCell ref="A23:E23"/>
    <mergeCell ref="A31:E31"/>
    <mergeCell ref="A57:E57"/>
    <mergeCell ref="A56:E56"/>
    <mergeCell ref="A58:E58"/>
  </mergeCells>
  <pageMargins left="1.1023622047244099" right="0.70866141732283516" top="1.5640625000000001" bottom="0.95447916666666721" header="0.31496062992126012" footer="0.31496062992126012"/>
  <pageSetup paperSize="9" scale="60" fitToWidth="0" fitToHeight="0" orientation="portrait" r:id="rId1"/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D06DF-9862-497C-84CD-4E4AEE6BF377}">
  <dimension ref="A1:J45"/>
  <sheetViews>
    <sheetView tabSelected="1" workbookViewId="0">
      <selection activeCell="J26" sqref="J26"/>
    </sheetView>
  </sheetViews>
  <sheetFormatPr defaultColWidth="9.140625" defaultRowHeight="14.25"/>
  <cols>
    <col min="1" max="1" width="10.85546875" style="126" customWidth="1"/>
    <col min="2" max="2" width="49.7109375" style="126" customWidth="1"/>
    <col min="3" max="3" width="9.28515625" style="126" customWidth="1"/>
    <col min="4" max="4" width="10.42578125" style="126" customWidth="1"/>
    <col min="5" max="5" width="18.28515625" style="126" customWidth="1"/>
    <col min="6" max="6" width="18.42578125" style="126" customWidth="1"/>
    <col min="7" max="7" width="20" style="126" bestFit="1" customWidth="1"/>
    <col min="8" max="12" width="9.140625" style="126"/>
    <col min="13" max="13" width="13" style="126" customWidth="1"/>
    <col min="14" max="16384" width="9.140625" style="126"/>
  </cols>
  <sheetData>
    <row r="1" spans="1:10" ht="15" thickBot="1">
      <c r="A1" s="209" t="s">
        <v>345</v>
      </c>
      <c r="B1" s="209"/>
      <c r="C1" s="209"/>
      <c r="D1" s="209"/>
      <c r="E1" s="209"/>
      <c r="F1" s="209"/>
      <c r="G1" s="209"/>
    </row>
    <row r="2" spans="1:10" ht="15" thickBot="1">
      <c r="A2" s="207" t="s">
        <v>1</v>
      </c>
      <c r="B2" s="208" t="s">
        <v>2</v>
      </c>
      <c r="C2" s="208" t="s">
        <v>100</v>
      </c>
      <c r="D2" s="208" t="s">
        <v>107</v>
      </c>
      <c r="E2" s="208" t="s">
        <v>102</v>
      </c>
      <c r="F2" s="211" t="s">
        <v>346</v>
      </c>
      <c r="G2" s="205" t="s">
        <v>108</v>
      </c>
    </row>
    <row r="3" spans="1:10">
      <c r="A3" s="207"/>
      <c r="B3" s="208"/>
      <c r="C3" s="208"/>
      <c r="D3" s="208"/>
      <c r="E3" s="208"/>
      <c r="F3" s="204"/>
      <c r="G3" s="205"/>
    </row>
    <row r="4" spans="1:10">
      <c r="A4" s="7">
        <v>1</v>
      </c>
      <c r="B4" s="130" t="s">
        <v>283</v>
      </c>
      <c r="C4" s="7" t="s">
        <v>103</v>
      </c>
      <c r="D4" s="5">
        <v>8</v>
      </c>
      <c r="E4" s="54">
        <v>27.92</v>
      </c>
      <c r="F4" s="128">
        <v>12</v>
      </c>
      <c r="G4" s="48">
        <f>D4*E4/F4</f>
        <v>18.613333333333333</v>
      </c>
    </row>
    <row r="5" spans="1:10">
      <c r="A5" s="7">
        <f t="shared" ref="A5" si="0">1+A4</f>
        <v>2</v>
      </c>
      <c r="B5" s="1" t="s">
        <v>284</v>
      </c>
      <c r="C5" s="7" t="s">
        <v>103</v>
      </c>
      <c r="D5" s="5">
        <v>2</v>
      </c>
      <c r="E5" s="54">
        <v>750.35</v>
      </c>
      <c r="F5" s="128">
        <v>60</v>
      </c>
      <c r="G5" s="48">
        <f t="shared" ref="G5" si="1">D5*E5/F5</f>
        <v>25.011666666666667</v>
      </c>
    </row>
    <row r="6" spans="1:10">
      <c r="A6" s="198" t="s">
        <v>104</v>
      </c>
      <c r="B6" s="198"/>
      <c r="C6" s="198"/>
      <c r="D6" s="198"/>
      <c r="E6" s="198"/>
      <c r="F6" s="198"/>
      <c r="G6" s="65">
        <f>SUM(G4:G5)</f>
        <v>43.625</v>
      </c>
      <c r="J6" s="22"/>
    </row>
    <row r="7" spans="1:10">
      <c r="A7" s="210" t="s">
        <v>133</v>
      </c>
      <c r="B7" s="210"/>
      <c r="C7" s="210"/>
      <c r="D7" s="210"/>
      <c r="E7" s="210"/>
      <c r="F7" s="210"/>
      <c r="G7" s="49">
        <v>4</v>
      </c>
      <c r="J7" s="22"/>
    </row>
    <row r="8" spans="1:10">
      <c r="A8" s="199" t="s">
        <v>347</v>
      </c>
      <c r="B8" s="199"/>
      <c r="C8" s="199"/>
      <c r="D8" s="199"/>
      <c r="E8" s="199"/>
      <c r="F8" s="199"/>
      <c r="G8" s="46">
        <f>G6/G7</f>
        <v>10.90625</v>
      </c>
      <c r="J8" s="22"/>
    </row>
    <row r="9" spans="1:10" ht="15" thickBot="1"/>
    <row r="10" spans="1:10" ht="15" thickBot="1">
      <c r="A10" s="207" t="s">
        <v>1</v>
      </c>
      <c r="B10" s="208" t="s">
        <v>2</v>
      </c>
      <c r="C10" s="208" t="s">
        <v>100</v>
      </c>
      <c r="D10" s="208" t="s">
        <v>107</v>
      </c>
      <c r="E10" s="208" t="s">
        <v>102</v>
      </c>
      <c r="F10" s="211" t="s">
        <v>346</v>
      </c>
      <c r="G10" s="205" t="s">
        <v>108</v>
      </c>
    </row>
    <row r="11" spans="1:10">
      <c r="A11" s="207"/>
      <c r="B11" s="208"/>
      <c r="C11" s="208"/>
      <c r="D11" s="208"/>
      <c r="E11" s="208"/>
      <c r="F11" s="204"/>
      <c r="G11" s="205"/>
    </row>
    <row r="12" spans="1:10" ht="15.75">
      <c r="A12" s="7">
        <v>1</v>
      </c>
      <c r="B12" s="114" t="s">
        <v>310</v>
      </c>
      <c r="C12" s="7" t="s">
        <v>103</v>
      </c>
      <c r="D12" s="5">
        <v>1</v>
      </c>
      <c r="E12" s="54">
        <v>1584.91</v>
      </c>
      <c r="F12" s="128">
        <v>60</v>
      </c>
      <c r="G12" s="48">
        <f>D12*E12/F12</f>
        <v>26.415166666666668</v>
      </c>
    </row>
    <row r="13" spans="1:10" ht="15.75">
      <c r="A13" s="7">
        <f t="shared" ref="A13" si="2">1+A12</f>
        <v>2</v>
      </c>
      <c r="B13" s="114" t="s">
        <v>311</v>
      </c>
      <c r="C13" s="7" t="s">
        <v>103</v>
      </c>
      <c r="D13" s="5">
        <v>1</v>
      </c>
      <c r="E13" s="54">
        <v>401.82</v>
      </c>
      <c r="F13" s="128">
        <v>60</v>
      </c>
      <c r="G13" s="48">
        <f t="shared" ref="G13" si="3">D13*E13/F13</f>
        <v>6.6970000000000001</v>
      </c>
    </row>
    <row r="14" spans="1:10">
      <c r="A14" s="198" t="s">
        <v>104</v>
      </c>
      <c r="B14" s="198"/>
      <c r="C14" s="198"/>
      <c r="D14" s="198"/>
      <c r="E14" s="198"/>
      <c r="F14" s="198"/>
      <c r="G14" s="65">
        <f>SUM(G12:G13)</f>
        <v>33.112166666666667</v>
      </c>
    </row>
    <row r="15" spans="1:10">
      <c r="A15" s="210" t="s">
        <v>133</v>
      </c>
      <c r="B15" s="210"/>
      <c r="C15" s="210"/>
      <c r="D15" s="210"/>
      <c r="E15" s="210"/>
      <c r="F15" s="210"/>
      <c r="G15" s="49">
        <v>2</v>
      </c>
    </row>
    <row r="16" spans="1:10">
      <c r="A16" s="199" t="s">
        <v>348</v>
      </c>
      <c r="B16" s="199"/>
      <c r="C16" s="199"/>
      <c r="D16" s="199"/>
      <c r="E16" s="199"/>
      <c r="F16" s="199"/>
      <c r="G16" s="46">
        <f>G14/G15</f>
        <v>16.556083333333333</v>
      </c>
    </row>
    <row r="17" spans="1:7" ht="15" thickBot="1"/>
    <row r="18" spans="1:7" ht="15" thickBot="1">
      <c r="A18" s="207" t="s">
        <v>1</v>
      </c>
      <c r="B18" s="208" t="s">
        <v>2</v>
      </c>
      <c r="C18" s="208" t="s">
        <v>100</v>
      </c>
      <c r="D18" s="208" t="s">
        <v>107</v>
      </c>
      <c r="E18" s="208" t="s">
        <v>102</v>
      </c>
      <c r="F18" s="211" t="s">
        <v>346</v>
      </c>
      <c r="G18" s="205" t="s">
        <v>108</v>
      </c>
    </row>
    <row r="19" spans="1:7">
      <c r="A19" s="207"/>
      <c r="B19" s="208"/>
      <c r="C19" s="208"/>
      <c r="D19" s="208"/>
      <c r="E19" s="208"/>
      <c r="F19" s="204"/>
      <c r="G19" s="205"/>
    </row>
    <row r="20" spans="1:7" ht="28.5">
      <c r="A20" s="7">
        <v>1</v>
      </c>
      <c r="B20" s="4" t="s">
        <v>315</v>
      </c>
      <c r="C20" s="7" t="s">
        <v>103</v>
      </c>
      <c r="D20" s="5">
        <v>4</v>
      </c>
      <c r="E20" s="54">
        <v>8.33</v>
      </c>
      <c r="F20" s="128">
        <v>12</v>
      </c>
      <c r="G20" s="48">
        <f>D20*E20/F20</f>
        <v>2.7766666666666668</v>
      </c>
    </row>
    <row r="21" spans="1:7">
      <c r="A21" s="7">
        <f t="shared" ref="A21:A27" si="4">1+A20</f>
        <v>2</v>
      </c>
      <c r="B21" s="130" t="s">
        <v>308</v>
      </c>
      <c r="C21" s="7" t="s">
        <v>103</v>
      </c>
      <c r="D21" s="5">
        <v>2</v>
      </c>
      <c r="E21" s="54">
        <v>1339.11</v>
      </c>
      <c r="F21" s="128">
        <v>60</v>
      </c>
      <c r="G21" s="48">
        <f t="shared" ref="G21:G42" si="5">D21*E21/F21</f>
        <v>44.636999999999993</v>
      </c>
    </row>
    <row r="22" spans="1:7" ht="28.5">
      <c r="A22" s="7">
        <f t="shared" si="4"/>
        <v>3</v>
      </c>
      <c r="B22" s="131" t="s">
        <v>309</v>
      </c>
      <c r="C22" s="7" t="s">
        <v>103</v>
      </c>
      <c r="D22" s="5">
        <v>2</v>
      </c>
      <c r="E22" s="54">
        <v>527.69000000000005</v>
      </c>
      <c r="F22" s="128">
        <v>60</v>
      </c>
      <c r="G22" s="48">
        <f t="shared" si="5"/>
        <v>17.58966666666667</v>
      </c>
    </row>
    <row r="23" spans="1:7">
      <c r="A23" s="7">
        <v>4</v>
      </c>
      <c r="B23" s="131" t="s">
        <v>317</v>
      </c>
      <c r="C23" s="7" t="s">
        <v>103</v>
      </c>
      <c r="D23" s="5">
        <v>4</v>
      </c>
      <c r="E23" s="54">
        <v>105.18</v>
      </c>
      <c r="F23" s="128">
        <v>60</v>
      </c>
      <c r="G23" s="48">
        <f t="shared" si="5"/>
        <v>7.0120000000000005</v>
      </c>
    </row>
    <row r="24" spans="1:7">
      <c r="A24" s="7">
        <v>5</v>
      </c>
      <c r="B24" s="131" t="s">
        <v>318</v>
      </c>
      <c r="C24" s="7" t="s">
        <v>103</v>
      </c>
      <c r="D24" s="5">
        <v>4</v>
      </c>
      <c r="E24" s="54">
        <v>99.4</v>
      </c>
      <c r="F24" s="128">
        <v>60</v>
      </c>
      <c r="G24" s="48">
        <f t="shared" si="5"/>
        <v>6.6266666666666669</v>
      </c>
    </row>
    <row r="25" spans="1:7">
      <c r="A25" s="7">
        <v>6</v>
      </c>
      <c r="B25" s="131" t="s">
        <v>319</v>
      </c>
      <c r="C25" s="7" t="s">
        <v>103</v>
      </c>
      <c r="D25" s="5">
        <v>4</v>
      </c>
      <c r="E25" s="53">
        <v>125.52</v>
      </c>
      <c r="F25" s="129">
        <v>60</v>
      </c>
      <c r="G25" s="48">
        <f t="shared" si="5"/>
        <v>8.3680000000000003</v>
      </c>
    </row>
    <row r="26" spans="1:7">
      <c r="A26" s="7">
        <v>7</v>
      </c>
      <c r="B26" s="131" t="s">
        <v>320</v>
      </c>
      <c r="C26" s="7" t="s">
        <v>103</v>
      </c>
      <c r="D26" s="5">
        <v>4</v>
      </c>
      <c r="E26" s="53">
        <v>203.06</v>
      </c>
      <c r="F26" s="129">
        <v>60</v>
      </c>
      <c r="G26" s="48">
        <f t="shared" si="5"/>
        <v>13.537333333333333</v>
      </c>
    </row>
    <row r="27" spans="1:7">
      <c r="A27" s="7">
        <f t="shared" si="4"/>
        <v>8</v>
      </c>
      <c r="B27" s="131" t="s">
        <v>321</v>
      </c>
      <c r="C27" s="7" t="s">
        <v>103</v>
      </c>
      <c r="D27" s="5">
        <v>8</v>
      </c>
      <c r="E27" s="54">
        <v>53.39</v>
      </c>
      <c r="F27" s="129">
        <v>60</v>
      </c>
      <c r="G27" s="48">
        <f t="shared" si="5"/>
        <v>7.1186666666666669</v>
      </c>
    </row>
    <row r="28" spans="1:7">
      <c r="A28" s="7">
        <v>9</v>
      </c>
      <c r="B28" s="131" t="s">
        <v>322</v>
      </c>
      <c r="C28" s="7" t="s">
        <v>103</v>
      </c>
      <c r="D28" s="5">
        <v>400</v>
      </c>
      <c r="E28" s="54">
        <v>5.66</v>
      </c>
      <c r="F28" s="129">
        <v>60</v>
      </c>
      <c r="G28" s="48">
        <f t="shared" si="5"/>
        <v>37.733333333333334</v>
      </c>
    </row>
    <row r="29" spans="1:7">
      <c r="A29" s="7">
        <v>10</v>
      </c>
      <c r="B29" s="131" t="s">
        <v>323</v>
      </c>
      <c r="C29" s="7" t="s">
        <v>103</v>
      </c>
      <c r="D29" s="5">
        <v>150</v>
      </c>
      <c r="E29" s="54">
        <v>9.52</v>
      </c>
      <c r="F29" s="129">
        <v>60</v>
      </c>
      <c r="G29" s="48">
        <f t="shared" si="5"/>
        <v>23.8</v>
      </c>
    </row>
    <row r="30" spans="1:7">
      <c r="A30" s="7">
        <v>11</v>
      </c>
      <c r="B30" s="131" t="s">
        <v>324</v>
      </c>
      <c r="C30" s="7" t="s">
        <v>103</v>
      </c>
      <c r="D30" s="5">
        <v>200</v>
      </c>
      <c r="E30" s="54">
        <v>18.64</v>
      </c>
      <c r="F30" s="129">
        <v>60</v>
      </c>
      <c r="G30" s="48">
        <f t="shared" si="5"/>
        <v>62.133333333333333</v>
      </c>
    </row>
    <row r="31" spans="1:7">
      <c r="A31" s="7">
        <v>12</v>
      </c>
      <c r="B31" s="131" t="s">
        <v>325</v>
      </c>
      <c r="C31" s="7" t="s">
        <v>103</v>
      </c>
      <c r="D31" s="5">
        <v>50</v>
      </c>
      <c r="E31" s="54">
        <v>24.93</v>
      </c>
      <c r="F31" s="129">
        <v>60</v>
      </c>
      <c r="G31" s="48">
        <f t="shared" si="5"/>
        <v>20.774999999999999</v>
      </c>
    </row>
    <row r="32" spans="1:7">
      <c r="A32" s="7">
        <v>13</v>
      </c>
      <c r="B32" s="131" t="s">
        <v>326</v>
      </c>
      <c r="C32" s="7" t="s">
        <v>103</v>
      </c>
      <c r="D32" s="5">
        <v>150</v>
      </c>
      <c r="E32" s="54">
        <v>11.01</v>
      </c>
      <c r="F32" s="129">
        <v>60</v>
      </c>
      <c r="G32" s="48">
        <f t="shared" si="5"/>
        <v>27.524999999999999</v>
      </c>
    </row>
    <row r="33" spans="1:7">
      <c r="A33" s="7">
        <v>14</v>
      </c>
      <c r="B33" s="131" t="s">
        <v>327</v>
      </c>
      <c r="C33" s="7" t="s">
        <v>103</v>
      </c>
      <c r="D33" s="5">
        <v>50</v>
      </c>
      <c r="E33" s="54">
        <v>7.48</v>
      </c>
      <c r="F33" s="129">
        <v>60</v>
      </c>
      <c r="G33" s="48">
        <f t="shared" si="5"/>
        <v>6.2333333333333334</v>
      </c>
    </row>
    <row r="34" spans="1:7">
      <c r="A34" s="7">
        <v>15</v>
      </c>
      <c r="B34" s="131" t="s">
        <v>328</v>
      </c>
      <c r="C34" s="7" t="s">
        <v>103</v>
      </c>
      <c r="D34" s="5">
        <v>12</v>
      </c>
      <c r="E34" s="54">
        <v>104.79</v>
      </c>
      <c r="F34" s="129">
        <v>60</v>
      </c>
      <c r="G34" s="48">
        <f t="shared" si="5"/>
        <v>20.958000000000002</v>
      </c>
    </row>
    <row r="35" spans="1:7">
      <c r="A35" s="7">
        <v>16</v>
      </c>
      <c r="B35" s="131" t="s">
        <v>329</v>
      </c>
      <c r="C35" s="7" t="s">
        <v>103</v>
      </c>
      <c r="D35" s="5">
        <v>12</v>
      </c>
      <c r="E35" s="54">
        <v>16.989999999999998</v>
      </c>
      <c r="F35" s="129">
        <v>60</v>
      </c>
      <c r="G35" s="48">
        <f t="shared" si="5"/>
        <v>3.3980000000000001</v>
      </c>
    </row>
    <row r="36" spans="1:7">
      <c r="A36" s="7">
        <v>17</v>
      </c>
      <c r="B36" s="131" t="s">
        <v>330</v>
      </c>
      <c r="C36" s="7" t="s">
        <v>103</v>
      </c>
      <c r="D36" s="5">
        <v>12</v>
      </c>
      <c r="E36" s="54">
        <v>12.53</v>
      </c>
      <c r="F36" s="129">
        <v>60</v>
      </c>
      <c r="G36" s="48">
        <f t="shared" si="5"/>
        <v>2.5059999999999998</v>
      </c>
    </row>
    <row r="37" spans="1:7">
      <c r="A37" s="7">
        <v>18</v>
      </c>
      <c r="B37" s="131" t="s">
        <v>331</v>
      </c>
      <c r="C37" s="7" t="s">
        <v>103</v>
      </c>
      <c r="D37" s="5">
        <v>2</v>
      </c>
      <c r="E37" s="54">
        <v>106.78</v>
      </c>
      <c r="F37" s="129">
        <v>60</v>
      </c>
      <c r="G37" s="48">
        <f t="shared" si="5"/>
        <v>3.5593333333333335</v>
      </c>
    </row>
    <row r="38" spans="1:7">
      <c r="A38" s="7">
        <v>19</v>
      </c>
      <c r="B38" s="131" t="s">
        <v>332</v>
      </c>
      <c r="C38" s="7" t="s">
        <v>103</v>
      </c>
      <c r="D38" s="5">
        <v>3</v>
      </c>
      <c r="E38" s="54">
        <v>130.11000000000001</v>
      </c>
      <c r="F38" s="129">
        <v>60</v>
      </c>
      <c r="G38" s="48">
        <f t="shared" si="5"/>
        <v>6.5055000000000005</v>
      </c>
    </row>
    <row r="39" spans="1:7">
      <c r="A39" s="7">
        <v>20</v>
      </c>
      <c r="B39" s="131" t="s">
        <v>333</v>
      </c>
      <c r="C39" s="7" t="s">
        <v>103</v>
      </c>
      <c r="D39" s="5">
        <v>3</v>
      </c>
      <c r="E39" s="54">
        <v>17.03</v>
      </c>
      <c r="F39" s="129">
        <v>60</v>
      </c>
      <c r="G39" s="48">
        <f t="shared" si="5"/>
        <v>0.85150000000000003</v>
      </c>
    </row>
    <row r="40" spans="1:7">
      <c r="A40" s="7">
        <v>21</v>
      </c>
      <c r="B40" s="131" t="s">
        <v>334</v>
      </c>
      <c r="C40" s="7" t="s">
        <v>103</v>
      </c>
      <c r="D40" s="5">
        <v>3</v>
      </c>
      <c r="E40" s="54">
        <v>45.17</v>
      </c>
      <c r="F40" s="129">
        <v>60</v>
      </c>
      <c r="G40" s="48">
        <f t="shared" si="5"/>
        <v>2.2584999999999997</v>
      </c>
    </row>
    <row r="41" spans="1:7">
      <c r="A41" s="7">
        <v>22</v>
      </c>
      <c r="B41" s="131" t="s">
        <v>335</v>
      </c>
      <c r="C41" s="7" t="s">
        <v>103</v>
      </c>
      <c r="D41" s="5">
        <v>3</v>
      </c>
      <c r="E41" s="54">
        <v>46.81</v>
      </c>
      <c r="F41" s="129">
        <v>60</v>
      </c>
      <c r="G41" s="48">
        <f t="shared" si="5"/>
        <v>2.3405</v>
      </c>
    </row>
    <row r="42" spans="1:7">
      <c r="A42" s="7">
        <v>23</v>
      </c>
      <c r="B42" s="131" t="s">
        <v>336</v>
      </c>
      <c r="C42" s="7" t="s">
        <v>103</v>
      </c>
      <c r="D42" s="5">
        <v>3</v>
      </c>
      <c r="E42" s="54">
        <v>52.09</v>
      </c>
      <c r="F42" s="129">
        <v>60</v>
      </c>
      <c r="G42" s="48">
        <f t="shared" si="5"/>
        <v>2.6045000000000003</v>
      </c>
    </row>
    <row r="43" spans="1:7">
      <c r="A43" s="198" t="s">
        <v>104</v>
      </c>
      <c r="B43" s="198"/>
      <c r="C43" s="198"/>
      <c r="D43" s="198"/>
      <c r="E43" s="198"/>
      <c r="F43" s="198"/>
      <c r="G43" s="65">
        <f>SUM(G20:G42)</f>
        <v>330.84783333333337</v>
      </c>
    </row>
    <row r="44" spans="1:7">
      <c r="A44" s="210" t="s">
        <v>133</v>
      </c>
      <c r="B44" s="210"/>
      <c r="C44" s="210"/>
      <c r="D44" s="210"/>
      <c r="E44" s="210"/>
      <c r="F44" s="210"/>
      <c r="G44" s="49">
        <v>8</v>
      </c>
    </row>
    <row r="45" spans="1:7">
      <c r="A45" s="199" t="s">
        <v>349</v>
      </c>
      <c r="B45" s="199"/>
      <c r="C45" s="199"/>
      <c r="D45" s="199"/>
      <c r="E45" s="199"/>
      <c r="F45" s="199"/>
      <c r="G45" s="46">
        <f>G43/G44</f>
        <v>41.355979166666671</v>
      </c>
    </row>
  </sheetData>
  <sheetProtection algorithmName="SHA-512" hashValue="NFSPiRiTilGfBYtPB43ArbPbtsMbX9igVKM7asalqZABej8EmD8x6xwGMlDzYyye/UhxD7BX+JrSS7kHhlaX/g==" saltValue="bxAx/uw+2hz90pX+ZtI1hw==" spinCount="100000" sheet="1" objects="1" scenarios="1"/>
  <mergeCells count="31">
    <mergeCell ref="G18:G19"/>
    <mergeCell ref="A43:F43"/>
    <mergeCell ref="A44:F44"/>
    <mergeCell ref="A45:F45"/>
    <mergeCell ref="G10:G11"/>
    <mergeCell ref="A14:F14"/>
    <mergeCell ref="A15:F15"/>
    <mergeCell ref="A16:F16"/>
    <mergeCell ref="A18:A19"/>
    <mergeCell ref="B18:B19"/>
    <mergeCell ref="C18:C19"/>
    <mergeCell ref="D18:D19"/>
    <mergeCell ref="E18:E19"/>
    <mergeCell ref="F18:F19"/>
    <mergeCell ref="A6:F6"/>
    <mergeCell ref="A7:F7"/>
    <mergeCell ref="A8:F8"/>
    <mergeCell ref="A10:A11"/>
    <mergeCell ref="B10:B11"/>
    <mergeCell ref="C10:C11"/>
    <mergeCell ref="D10:D11"/>
    <mergeCell ref="E10:E11"/>
    <mergeCell ref="F10:F11"/>
    <mergeCell ref="A1:G1"/>
    <mergeCell ref="A2:A3"/>
    <mergeCell ref="B2:B3"/>
    <mergeCell ref="C2:C3"/>
    <mergeCell ref="D2:D3"/>
    <mergeCell ref="E2:E3"/>
    <mergeCell ref="F2:F3"/>
    <mergeCell ref="G2:G3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E1A48-FBA8-49D3-B170-717C25079227}">
  <dimension ref="D3:V40"/>
  <sheetViews>
    <sheetView topLeftCell="A16" zoomScale="120" zoomScaleNormal="120" workbookViewId="0">
      <selection activeCell="X1" sqref="X1"/>
    </sheetView>
  </sheetViews>
  <sheetFormatPr defaultColWidth="17.5703125" defaultRowHeight="12.75"/>
  <cols>
    <col min="4" max="4" width="5.85546875" customWidth="1"/>
    <col min="5" max="5" width="54" customWidth="1"/>
    <col min="6" max="6" width="10" customWidth="1"/>
    <col min="7" max="7" width="23" customWidth="1"/>
    <col min="9" max="9" width="8.7109375" customWidth="1"/>
    <col min="10" max="10" width="51.140625" customWidth="1"/>
    <col min="11" max="11" width="10.140625" customWidth="1"/>
    <col min="12" max="12" width="18.140625" customWidth="1"/>
    <col min="14" max="14" width="9.140625" customWidth="1"/>
    <col min="15" max="15" width="54.140625" customWidth="1"/>
    <col min="16" max="16" width="12.5703125" customWidth="1"/>
    <col min="17" max="17" width="18.5703125" customWidth="1"/>
    <col min="19" max="19" width="9.140625" customWidth="1"/>
    <col min="20" max="20" width="54.140625" customWidth="1"/>
    <col min="21" max="21" width="12.5703125" customWidth="1"/>
    <col min="22" max="22" width="18.5703125" customWidth="1"/>
  </cols>
  <sheetData>
    <row r="3" spans="4:22" ht="15">
      <c r="D3" s="216" t="s">
        <v>179</v>
      </c>
      <c r="E3" s="216"/>
      <c r="F3" s="216"/>
      <c r="G3" s="216"/>
      <c r="I3" s="216" t="s">
        <v>177</v>
      </c>
      <c r="J3" s="216"/>
      <c r="K3" s="216"/>
      <c r="L3" s="216"/>
      <c r="N3" s="216" t="s">
        <v>180</v>
      </c>
      <c r="O3" s="216"/>
      <c r="P3" s="216"/>
      <c r="Q3" s="216"/>
      <c r="S3" s="216" t="s">
        <v>181</v>
      </c>
      <c r="T3" s="216"/>
      <c r="U3" s="216"/>
      <c r="V3" s="216"/>
    </row>
    <row r="4" spans="4:22" ht="15">
      <c r="D4" s="217" t="s">
        <v>149</v>
      </c>
      <c r="E4" s="217" t="s">
        <v>150</v>
      </c>
      <c r="F4" s="213" t="s">
        <v>129</v>
      </c>
      <c r="G4" s="213"/>
      <c r="I4" s="217" t="s">
        <v>149</v>
      </c>
      <c r="J4" s="217" t="s">
        <v>150</v>
      </c>
      <c r="K4" s="213" t="s">
        <v>129</v>
      </c>
      <c r="L4" s="213"/>
      <c r="N4" s="217" t="s">
        <v>149</v>
      </c>
      <c r="O4" s="217" t="s">
        <v>150</v>
      </c>
      <c r="P4" s="213" t="s">
        <v>129</v>
      </c>
      <c r="Q4" s="213"/>
      <c r="S4" s="217" t="s">
        <v>149</v>
      </c>
      <c r="T4" s="217" t="s">
        <v>150</v>
      </c>
      <c r="U4" s="213" t="s">
        <v>129</v>
      </c>
      <c r="V4" s="213"/>
    </row>
    <row r="5" spans="4:22" ht="15">
      <c r="D5" s="218"/>
      <c r="E5" s="218"/>
      <c r="F5" s="77" t="s">
        <v>5</v>
      </c>
      <c r="G5" s="77" t="s">
        <v>53</v>
      </c>
      <c r="I5" s="218"/>
      <c r="J5" s="218"/>
      <c r="K5" s="77" t="s">
        <v>5</v>
      </c>
      <c r="L5" s="77" t="s">
        <v>53</v>
      </c>
      <c r="N5" s="218"/>
      <c r="O5" s="218"/>
      <c r="P5" s="77" t="s">
        <v>5</v>
      </c>
      <c r="Q5" s="77" t="s">
        <v>53</v>
      </c>
      <c r="S5" s="218"/>
      <c r="T5" s="218"/>
      <c r="U5" s="77" t="s">
        <v>5</v>
      </c>
      <c r="V5" s="77" t="s">
        <v>53</v>
      </c>
    </row>
    <row r="6" spans="4:22" ht="15">
      <c r="D6" s="69" t="s">
        <v>6</v>
      </c>
      <c r="E6" s="70" t="s">
        <v>151</v>
      </c>
      <c r="F6" s="71">
        <f>1/12</f>
        <v>8.3333333333333329E-2</v>
      </c>
      <c r="G6" s="72">
        <f>'Serv. de limpeza'!H32*F6</f>
        <v>170.60749999999999</v>
      </c>
      <c r="I6" s="69" t="s">
        <v>6</v>
      </c>
      <c r="J6" s="70" t="s">
        <v>151</v>
      </c>
      <c r="K6" s="71">
        <f>1/12</f>
        <v>8.3333333333333329E-2</v>
      </c>
      <c r="L6" s="72">
        <f>Carregador!H32*K6</f>
        <v>145.3075</v>
      </c>
      <c r="N6" s="69" t="s">
        <v>6</v>
      </c>
      <c r="O6" s="70" t="s">
        <v>151</v>
      </c>
      <c r="P6" s="71">
        <f>1/12</f>
        <v>8.3333333333333329E-2</v>
      </c>
      <c r="Q6" s="72">
        <f>Copeiro!H32*P6</f>
        <v>145.3075</v>
      </c>
      <c r="S6" s="69" t="s">
        <v>6</v>
      </c>
      <c r="T6" s="70" t="s">
        <v>151</v>
      </c>
      <c r="U6" s="71">
        <f>1/12</f>
        <v>8.3333333333333329E-2</v>
      </c>
      <c r="V6" s="72">
        <f>Garçom!H32*U6</f>
        <v>214.53083333333331</v>
      </c>
    </row>
    <row r="7" spans="4:22" ht="15">
      <c r="D7" s="69" t="s">
        <v>8</v>
      </c>
      <c r="E7" s="70" t="s">
        <v>152</v>
      </c>
      <c r="F7" s="71">
        <f>'Serv. de limpeza'!G51</f>
        <v>0.36800000000000005</v>
      </c>
      <c r="G7" s="72">
        <f>F7*G6</f>
        <v>62.783560000000001</v>
      </c>
      <c r="I7" s="69" t="s">
        <v>8</v>
      </c>
      <c r="J7" s="70" t="s">
        <v>152</v>
      </c>
      <c r="K7" s="71">
        <f>Carregador!G51</f>
        <v>0.36800000000000005</v>
      </c>
      <c r="L7" s="72">
        <f>K7*L6</f>
        <v>53.473160000000007</v>
      </c>
      <c r="N7" s="69" t="s">
        <v>8</v>
      </c>
      <c r="O7" s="70" t="s">
        <v>152</v>
      </c>
      <c r="P7" s="71">
        <f>Copeiro!G51</f>
        <v>0.36800000000000005</v>
      </c>
      <c r="Q7" s="72">
        <f>P7*Q6</f>
        <v>53.473160000000007</v>
      </c>
      <c r="S7" s="69" t="s">
        <v>8</v>
      </c>
      <c r="T7" s="70" t="s">
        <v>152</v>
      </c>
      <c r="U7" s="71">
        <f>Garçom!G51</f>
        <v>0.36800000000000005</v>
      </c>
      <c r="V7" s="72">
        <f>U7*V6</f>
        <v>78.947346666666661</v>
      </c>
    </row>
    <row r="8" spans="4:22" ht="15">
      <c r="D8" s="69" t="s">
        <v>13</v>
      </c>
      <c r="E8" s="70" t="s">
        <v>153</v>
      </c>
      <c r="F8" s="71">
        <f>('Serv. de limpeza'!G38+'Serv. de limpeza'!G88)-(1/12+1/12/3)</f>
        <v>1.6203703703703692E-2</v>
      </c>
      <c r="G8" s="72">
        <f>'Serv. de limpeza'!H32*F8</f>
        <v>33.173680555555535</v>
      </c>
      <c r="I8" s="69" t="s">
        <v>13</v>
      </c>
      <c r="J8" s="70" t="s">
        <v>153</v>
      </c>
      <c r="K8" s="71">
        <f>(Carregador!G38+Carregador!G88)-(1/12+1/12/3)</f>
        <v>1.6203703703703692E-2</v>
      </c>
      <c r="L8" s="72">
        <f>Carregador!H32*K8</f>
        <v>28.254236111111091</v>
      </c>
      <c r="N8" s="69" t="s">
        <v>13</v>
      </c>
      <c r="O8" s="70" t="s">
        <v>153</v>
      </c>
      <c r="P8" s="71">
        <f>(Copeiro!G38+Copeiro!G88)-(1/12+1/3/12)</f>
        <v>1.6203703703703692E-2</v>
      </c>
      <c r="Q8" s="72">
        <f>Copeiro!H32*P8</f>
        <v>28.254236111111091</v>
      </c>
      <c r="S8" s="69" t="s">
        <v>13</v>
      </c>
      <c r="T8" s="70" t="s">
        <v>153</v>
      </c>
      <c r="U8" s="71">
        <f>(Garçom!G38+Garçom!G88)-(1/12+1/12/3)</f>
        <v>1.6203703703703692E-2</v>
      </c>
      <c r="V8" s="72">
        <f>Garçom!H32*U8</f>
        <v>41.714328703703671</v>
      </c>
    </row>
    <row r="9" spans="4:22" ht="15">
      <c r="D9" s="213" t="s">
        <v>154</v>
      </c>
      <c r="E9" s="213"/>
      <c r="F9" s="213"/>
      <c r="G9" s="78">
        <f>SUM(G6:G8)</f>
        <v>266.56474055555555</v>
      </c>
      <c r="I9" s="213" t="s">
        <v>154</v>
      </c>
      <c r="J9" s="213"/>
      <c r="K9" s="213"/>
      <c r="L9" s="78">
        <f>SUM(L6:L8)</f>
        <v>227.0348961111111</v>
      </c>
      <c r="N9" s="213" t="s">
        <v>154</v>
      </c>
      <c r="O9" s="213"/>
      <c r="P9" s="213"/>
      <c r="Q9" s="78">
        <f>SUM(Q6:Q8)</f>
        <v>227.0348961111111</v>
      </c>
      <c r="S9" s="213" t="s">
        <v>154</v>
      </c>
      <c r="T9" s="213"/>
      <c r="U9" s="213"/>
      <c r="V9" s="78">
        <f>SUM(V6:V8)</f>
        <v>335.19250870370365</v>
      </c>
    </row>
    <row r="10" spans="4:22" ht="15">
      <c r="D10" s="215" t="s">
        <v>155</v>
      </c>
      <c r="E10" s="215"/>
      <c r="F10" s="215"/>
      <c r="G10" s="80">
        <f>G9*12</f>
        <v>3198.7768866666665</v>
      </c>
      <c r="I10" s="215" t="s">
        <v>155</v>
      </c>
      <c r="J10" s="215"/>
      <c r="K10" s="215"/>
      <c r="L10" s="80">
        <f>L9*12</f>
        <v>2724.4187533333334</v>
      </c>
      <c r="N10" s="215" t="s">
        <v>155</v>
      </c>
      <c r="O10" s="215"/>
      <c r="P10" s="215"/>
      <c r="Q10" s="80">
        <f>Q9*12</f>
        <v>2724.4187533333334</v>
      </c>
      <c r="S10" s="215" t="s">
        <v>155</v>
      </c>
      <c r="T10" s="215"/>
      <c r="U10" s="215"/>
      <c r="V10" s="80">
        <f>V9*12</f>
        <v>4022.3101044444438</v>
      </c>
    </row>
    <row r="11" spans="4:22" ht="15">
      <c r="D11" s="73"/>
      <c r="E11" s="73"/>
      <c r="F11" s="73"/>
      <c r="G11" s="74"/>
      <c r="I11" s="73"/>
      <c r="J11" s="73"/>
      <c r="K11" s="73"/>
      <c r="L11" s="74"/>
      <c r="N11" s="73"/>
      <c r="O11" s="73"/>
      <c r="P11" s="73"/>
      <c r="Q11" s="74"/>
      <c r="S11" s="73"/>
      <c r="T11" s="73"/>
      <c r="U11" s="73"/>
      <c r="V11" s="74"/>
    </row>
    <row r="12" spans="4:22" ht="15">
      <c r="D12" s="79"/>
      <c r="E12" s="215" t="s">
        <v>156</v>
      </c>
      <c r="F12" s="215"/>
      <c r="G12" s="80" t="s">
        <v>53</v>
      </c>
      <c r="I12" s="79"/>
      <c r="J12" s="215" t="s">
        <v>156</v>
      </c>
      <c r="K12" s="215"/>
      <c r="L12" s="80" t="s">
        <v>53</v>
      </c>
      <c r="N12" s="79"/>
      <c r="O12" s="215" t="s">
        <v>156</v>
      </c>
      <c r="P12" s="215"/>
      <c r="Q12" s="80" t="s">
        <v>53</v>
      </c>
      <c r="S12" s="79"/>
      <c r="T12" s="215" t="s">
        <v>156</v>
      </c>
      <c r="U12" s="215"/>
      <c r="V12" s="80" t="s">
        <v>53</v>
      </c>
    </row>
    <row r="13" spans="4:22" ht="15">
      <c r="D13" s="69" t="s">
        <v>6</v>
      </c>
      <c r="E13" s="214" t="s">
        <v>112</v>
      </c>
      <c r="F13" s="214"/>
      <c r="G13" s="72">
        <f>'Serv. de limpeza'!H54</f>
        <v>126.38</v>
      </c>
      <c r="I13" s="69" t="s">
        <v>6</v>
      </c>
      <c r="J13" s="214" t="s">
        <v>112</v>
      </c>
      <c r="K13" s="214"/>
      <c r="L13" s="72">
        <f>Carregador!H54</f>
        <v>126.38</v>
      </c>
      <c r="N13" s="69" t="s">
        <v>6</v>
      </c>
      <c r="O13" s="214" t="s">
        <v>112</v>
      </c>
      <c r="P13" s="214"/>
      <c r="Q13" s="72">
        <f>Copeiro!H54</f>
        <v>126.38</v>
      </c>
      <c r="S13" s="69" t="s">
        <v>6</v>
      </c>
      <c r="T13" s="214" t="s">
        <v>112</v>
      </c>
      <c r="U13" s="214"/>
      <c r="V13" s="72">
        <f>Garçom!H54</f>
        <v>76.540000000000006</v>
      </c>
    </row>
    <row r="14" spans="4:22" ht="15">
      <c r="D14" s="69" t="s">
        <v>8</v>
      </c>
      <c r="E14" s="214" t="s">
        <v>157</v>
      </c>
      <c r="F14" s="214"/>
      <c r="G14" s="72">
        <f>'Serv. de limpeza'!H55</f>
        <v>930.3</v>
      </c>
      <c r="I14" s="69" t="s">
        <v>8</v>
      </c>
      <c r="J14" s="214" t="s">
        <v>157</v>
      </c>
      <c r="K14" s="214"/>
      <c r="L14" s="72">
        <f>Carregador!H55</f>
        <v>930.3</v>
      </c>
      <c r="N14" s="69" t="s">
        <v>8</v>
      </c>
      <c r="O14" s="214" t="s">
        <v>157</v>
      </c>
      <c r="P14" s="214"/>
      <c r="Q14" s="72">
        <f>Copeiro!H55</f>
        <v>930.3</v>
      </c>
      <c r="S14" s="69" t="s">
        <v>8</v>
      </c>
      <c r="T14" s="214" t="s">
        <v>157</v>
      </c>
      <c r="U14" s="214"/>
      <c r="V14" s="72">
        <f>Garçom!H55</f>
        <v>930.3</v>
      </c>
    </row>
    <row r="15" spans="4:22" ht="15">
      <c r="D15" s="215" t="s">
        <v>158</v>
      </c>
      <c r="E15" s="215"/>
      <c r="F15" s="215"/>
      <c r="G15" s="80">
        <f>SUM(G13:G14)</f>
        <v>1056.6799999999998</v>
      </c>
      <c r="I15" s="215" t="s">
        <v>158</v>
      </c>
      <c r="J15" s="215"/>
      <c r="K15" s="215"/>
      <c r="L15" s="80">
        <f>SUM(L13:L14)</f>
        <v>1056.6799999999998</v>
      </c>
      <c r="N15" s="215" t="s">
        <v>158</v>
      </c>
      <c r="O15" s="215"/>
      <c r="P15" s="215"/>
      <c r="Q15" s="80">
        <f>SUM(Q13:Q14)</f>
        <v>1056.6799999999998</v>
      </c>
      <c r="S15" s="215" t="s">
        <v>158</v>
      </c>
      <c r="T15" s="215"/>
      <c r="U15" s="215"/>
      <c r="V15" s="80">
        <f>SUM(V13:V14)</f>
        <v>1006.8399999999999</v>
      </c>
    </row>
    <row r="16" spans="4:22" ht="15">
      <c r="D16" s="73"/>
      <c r="E16" s="73"/>
      <c r="F16" s="73"/>
      <c r="G16" s="74"/>
      <c r="I16" s="73"/>
      <c r="J16" s="73"/>
      <c r="K16" s="73"/>
      <c r="L16" s="74"/>
      <c r="N16" s="73"/>
      <c r="O16" s="73"/>
      <c r="P16" s="73"/>
      <c r="Q16" s="74"/>
      <c r="S16" s="73"/>
      <c r="T16" s="73"/>
      <c r="U16" s="73"/>
      <c r="V16" s="74"/>
    </row>
    <row r="17" spans="4:22" ht="15">
      <c r="D17" s="212" t="s">
        <v>159</v>
      </c>
      <c r="E17" s="212"/>
      <c r="F17" s="212"/>
      <c r="G17" s="81">
        <f>G10+G15</f>
        <v>4255.4568866666668</v>
      </c>
      <c r="I17" s="212" t="s">
        <v>159</v>
      </c>
      <c r="J17" s="212"/>
      <c r="K17" s="212"/>
      <c r="L17" s="81">
        <f>L10+L15</f>
        <v>3781.0987533333332</v>
      </c>
      <c r="N17" s="212" t="s">
        <v>159</v>
      </c>
      <c r="O17" s="212"/>
      <c r="P17" s="212"/>
      <c r="Q17" s="81">
        <f>Q10+Q15</f>
        <v>3781.0987533333332</v>
      </c>
      <c r="S17" s="212" t="s">
        <v>159</v>
      </c>
      <c r="T17" s="212"/>
      <c r="U17" s="212"/>
      <c r="V17" s="81">
        <f>V10+V15</f>
        <v>5029.150104444444</v>
      </c>
    </row>
    <row r="18" spans="4:22" ht="15">
      <c r="D18" s="73"/>
      <c r="E18" s="73"/>
      <c r="F18" s="73"/>
      <c r="G18" s="74"/>
      <c r="I18" s="73"/>
      <c r="J18" s="73"/>
      <c r="K18" s="73"/>
      <c r="L18" s="74"/>
      <c r="N18" s="73"/>
      <c r="O18" s="73"/>
      <c r="P18" s="73"/>
      <c r="Q18" s="74"/>
      <c r="S18" s="73"/>
      <c r="T18" s="73"/>
      <c r="U18" s="73"/>
      <c r="V18" s="74"/>
    </row>
    <row r="19" spans="4:22" ht="15">
      <c r="D19" s="79">
        <v>6</v>
      </c>
      <c r="E19" s="79" t="s">
        <v>160</v>
      </c>
      <c r="F19" s="79" t="s">
        <v>5</v>
      </c>
      <c r="G19" s="80" t="s">
        <v>53</v>
      </c>
      <c r="I19" s="79">
        <v>6</v>
      </c>
      <c r="J19" s="79" t="s">
        <v>160</v>
      </c>
      <c r="K19" s="79" t="s">
        <v>5</v>
      </c>
      <c r="L19" s="80" t="s">
        <v>53</v>
      </c>
      <c r="N19" s="79">
        <v>6</v>
      </c>
      <c r="O19" s="79" t="s">
        <v>160</v>
      </c>
      <c r="P19" s="79" t="s">
        <v>5</v>
      </c>
      <c r="Q19" s="80" t="s">
        <v>53</v>
      </c>
      <c r="S19" s="79">
        <v>6</v>
      </c>
      <c r="T19" s="79" t="s">
        <v>160</v>
      </c>
      <c r="U19" s="79" t="s">
        <v>5</v>
      </c>
      <c r="V19" s="80" t="s">
        <v>53</v>
      </c>
    </row>
    <row r="20" spans="4:22" ht="15">
      <c r="D20" s="69" t="s">
        <v>6</v>
      </c>
      <c r="E20" s="70" t="s">
        <v>85</v>
      </c>
      <c r="F20" s="71">
        <f>'Serv. de limpeza'!G117</f>
        <v>0.05</v>
      </c>
      <c r="G20" s="72">
        <f>F20*G17</f>
        <v>212.77284433333335</v>
      </c>
      <c r="I20" s="69" t="s">
        <v>6</v>
      </c>
      <c r="J20" s="70" t="s">
        <v>85</v>
      </c>
      <c r="K20" s="71">
        <f>Carregador!G117</f>
        <v>0.05</v>
      </c>
      <c r="L20" s="72">
        <f>K20*L17</f>
        <v>189.05493766666666</v>
      </c>
      <c r="N20" s="69" t="s">
        <v>6</v>
      </c>
      <c r="O20" s="70" t="s">
        <v>85</v>
      </c>
      <c r="P20" s="71">
        <f>Copeiro!G117</f>
        <v>0.05</v>
      </c>
      <c r="Q20" s="72">
        <f>P20*Q17</f>
        <v>189.05493766666666</v>
      </c>
      <c r="S20" s="69" t="s">
        <v>6</v>
      </c>
      <c r="T20" s="70" t="s">
        <v>85</v>
      </c>
      <c r="U20" s="71">
        <f>Garçom!G117</f>
        <v>0.05</v>
      </c>
      <c r="V20" s="72">
        <f>U20*V17</f>
        <v>251.45750522222221</v>
      </c>
    </row>
    <row r="21" spans="4:22" ht="15">
      <c r="D21" s="69" t="s">
        <v>8</v>
      </c>
      <c r="E21" s="70" t="s">
        <v>86</v>
      </c>
      <c r="F21" s="71">
        <f>'Serv. de limpeza'!G118</f>
        <v>0.1</v>
      </c>
      <c r="G21" s="72">
        <f>(G17+G20)*F21</f>
        <v>446.82297310000007</v>
      </c>
      <c r="I21" s="69" t="s">
        <v>8</v>
      </c>
      <c r="J21" s="70" t="s">
        <v>86</v>
      </c>
      <c r="K21" s="71">
        <f>Carregador!G118</f>
        <v>0.1</v>
      </c>
      <c r="L21" s="72">
        <f>(L17+L20)*K21</f>
        <v>397.01536910000004</v>
      </c>
      <c r="N21" s="69" t="s">
        <v>8</v>
      </c>
      <c r="O21" s="70" t="s">
        <v>86</v>
      </c>
      <c r="P21" s="71">
        <f>Copeiro!G118</f>
        <v>0.1</v>
      </c>
      <c r="Q21" s="72">
        <f>(Q17+Q20)*P21</f>
        <v>397.01536910000004</v>
      </c>
      <c r="S21" s="69" t="s">
        <v>8</v>
      </c>
      <c r="T21" s="70" t="s">
        <v>86</v>
      </c>
      <c r="U21" s="71">
        <f>Garçom!G118</f>
        <v>0.1</v>
      </c>
      <c r="V21" s="72">
        <f>(V17+V20)*U21</f>
        <v>528.06076096666663</v>
      </c>
    </row>
    <row r="22" spans="4:22" ht="15">
      <c r="D22" s="69"/>
      <c r="E22" s="70"/>
      <c r="F22" s="71"/>
      <c r="G22" s="75">
        <f>SUM(G20:G21)</f>
        <v>659.59581743333342</v>
      </c>
      <c r="I22" s="69"/>
      <c r="J22" s="70"/>
      <c r="K22" s="71"/>
      <c r="L22" s="75">
        <f>SUM(L20:L21)</f>
        <v>586.0703067666667</v>
      </c>
      <c r="N22" s="69"/>
      <c r="O22" s="70"/>
      <c r="P22" s="71"/>
      <c r="Q22" s="75">
        <f>SUM(Q20:Q21)</f>
        <v>586.0703067666667</v>
      </c>
      <c r="S22" s="69"/>
      <c r="T22" s="70"/>
      <c r="U22" s="71"/>
      <c r="V22" s="75">
        <f>SUM(V20:V21)</f>
        <v>779.5182661888889</v>
      </c>
    </row>
    <row r="23" spans="4:22" ht="16.149999999999999" customHeight="1">
      <c r="D23" s="87" t="s">
        <v>13</v>
      </c>
      <c r="E23" s="85" t="s">
        <v>87</v>
      </c>
      <c r="F23" s="86">
        <f>F24+F25+F27</f>
        <v>0.14250000000000002</v>
      </c>
      <c r="G23" s="75">
        <f>G24+G25+G27</f>
        <v>816.78718406326539</v>
      </c>
      <c r="I23" s="69" t="s">
        <v>13</v>
      </c>
      <c r="J23" s="85" t="s">
        <v>87</v>
      </c>
      <c r="K23" s="86">
        <f>K24+K25+K27</f>
        <v>0.14250000000000002</v>
      </c>
      <c r="L23" s="75">
        <f>L24+L25+L27</f>
        <v>725.73946479795927</v>
      </c>
      <c r="N23" s="87" t="s">
        <v>13</v>
      </c>
      <c r="O23" s="85" t="s">
        <v>87</v>
      </c>
      <c r="P23" s="86">
        <f>P24+P25+P27</f>
        <v>0.14250000000000002</v>
      </c>
      <c r="Q23" s="75">
        <f>Q24+Q25+Q27</f>
        <v>725.73946479795927</v>
      </c>
      <c r="S23" s="87" t="s">
        <v>13</v>
      </c>
      <c r="T23" s="85" t="s">
        <v>87</v>
      </c>
      <c r="U23" s="86">
        <f>U24+U25+U27</f>
        <v>0.14250000000000002</v>
      </c>
      <c r="V23" s="75">
        <f>V24+V25+V27</f>
        <v>965.28891290408171</v>
      </c>
    </row>
    <row r="24" spans="4:22" ht="15">
      <c r="D24" s="69" t="s">
        <v>178</v>
      </c>
      <c r="E24" s="70" t="s">
        <v>161</v>
      </c>
      <c r="F24" s="71">
        <f>'Serv. de limpeza'!G120</f>
        <v>1.6500000000000001E-2</v>
      </c>
      <c r="G24" s="72">
        <f>($G$17+$G$20+$G$21)/(1-($F$24+$F$25+$F$26+$F$27))*F24</f>
        <v>94.575358154693902</v>
      </c>
      <c r="I24" s="69" t="s">
        <v>178</v>
      </c>
      <c r="J24" s="70" t="s">
        <v>161</v>
      </c>
      <c r="K24" s="71">
        <f>Carregador!G120</f>
        <v>1.6500000000000001E-2</v>
      </c>
      <c r="L24" s="72">
        <f>($L$17+$L$20+$L$21)/(1-($K$24+$K$25+$K$26+$K$27))*K24</f>
        <v>84.032990660816338</v>
      </c>
      <c r="N24" s="69" t="s">
        <v>178</v>
      </c>
      <c r="O24" s="70" t="s">
        <v>161</v>
      </c>
      <c r="P24" s="71">
        <f>Copeiro!G120</f>
        <v>1.6500000000000001E-2</v>
      </c>
      <c r="Q24" s="72">
        <f>($Q$17+$Q$20+$Q$21)/(1-($P$24+$P$25+$P$26+$P$27))*P24</f>
        <v>84.032990660816338</v>
      </c>
      <c r="S24" s="69" t="s">
        <v>178</v>
      </c>
      <c r="T24" s="70" t="s">
        <v>161</v>
      </c>
      <c r="U24" s="71">
        <f>Garçom!G120</f>
        <v>1.6500000000000001E-2</v>
      </c>
      <c r="V24" s="72">
        <f>($V$17+$V$20+$V$21)/(1-($U$24+$U$25+$U$26+$U$27))*U24</f>
        <v>111.77029517836736</v>
      </c>
    </row>
    <row r="25" spans="4:22" ht="15">
      <c r="D25" s="69" t="s">
        <v>162</v>
      </c>
      <c r="E25" s="70" t="s">
        <v>163</v>
      </c>
      <c r="F25" s="71">
        <f>'Serv. de limpeza'!G121</f>
        <v>7.5999999999999998E-2</v>
      </c>
      <c r="G25" s="72">
        <f t="shared" ref="G25:G27" si="0">($G$17+$G$20+$G$21)/(1-($F$24+$F$25+$F$26+$F$27))*F25</f>
        <v>435.61983150040822</v>
      </c>
      <c r="I25" s="69" t="s">
        <v>162</v>
      </c>
      <c r="J25" s="70" t="s">
        <v>163</v>
      </c>
      <c r="K25" s="71">
        <f>Carregador!G121</f>
        <v>7.5999999999999998E-2</v>
      </c>
      <c r="L25" s="72">
        <f>($L$17+$L$20+$L$21)/(1-($K$24+$K$25+$K$26+$K$27))*K25</f>
        <v>387.06104789224497</v>
      </c>
      <c r="N25" s="69" t="s">
        <v>162</v>
      </c>
      <c r="O25" s="70" t="s">
        <v>163</v>
      </c>
      <c r="P25" s="71">
        <f>Copeiro!G121</f>
        <v>7.5999999999999998E-2</v>
      </c>
      <c r="Q25" s="72">
        <f t="shared" ref="Q25:Q27" si="1">($Q$17+$Q$20+$Q$21)/(1-($P$24+$P$25+$P$26+$P$27))*P25</f>
        <v>387.06104789224497</v>
      </c>
      <c r="S25" s="69" t="s">
        <v>162</v>
      </c>
      <c r="T25" s="70" t="s">
        <v>163</v>
      </c>
      <c r="U25" s="71">
        <f>Garçom!G121</f>
        <v>7.5999999999999998E-2</v>
      </c>
      <c r="V25" s="72">
        <f t="shared" ref="V25:V27" si="2">($V$17+$V$20+$V$21)/(1-($U$24+$U$25+$U$26+$U$27))*U25</f>
        <v>514.82075354884353</v>
      </c>
    </row>
    <row r="26" spans="4:22" ht="15">
      <c r="D26" s="69" t="s">
        <v>164</v>
      </c>
      <c r="E26" s="70" t="s">
        <v>176</v>
      </c>
      <c r="F26" s="71">
        <f>'Serv. de limpeza'!G122</f>
        <v>0</v>
      </c>
      <c r="G26" s="72">
        <f t="shared" si="0"/>
        <v>0</v>
      </c>
      <c r="I26" s="69" t="s">
        <v>164</v>
      </c>
      <c r="J26" s="70" t="s">
        <v>176</v>
      </c>
      <c r="K26" s="71">
        <f>Carregador!G122</f>
        <v>0</v>
      </c>
      <c r="L26" s="72">
        <f t="shared" ref="L26:L27" si="3">($L$17+$L$20+$L$21)/(1-($K$24+$K$25+$K$26+$K$27))*K26</f>
        <v>0</v>
      </c>
      <c r="N26" s="69" t="s">
        <v>164</v>
      </c>
      <c r="O26" s="70" t="s">
        <v>176</v>
      </c>
      <c r="P26" s="71">
        <f>Copeiro!G122</f>
        <v>0</v>
      </c>
      <c r="Q26" s="72">
        <f t="shared" si="1"/>
        <v>0</v>
      </c>
      <c r="S26" s="69" t="s">
        <v>164</v>
      </c>
      <c r="T26" s="70" t="s">
        <v>176</v>
      </c>
      <c r="U26" s="71">
        <f>Garçom!G122</f>
        <v>0</v>
      </c>
      <c r="V26" s="72">
        <f t="shared" si="2"/>
        <v>0</v>
      </c>
    </row>
    <row r="27" spans="4:22" ht="15">
      <c r="D27" s="69" t="s">
        <v>175</v>
      </c>
      <c r="E27" s="70" t="s">
        <v>165</v>
      </c>
      <c r="F27" s="71">
        <f>'Serv. de limpeza'!G123</f>
        <v>0.05</v>
      </c>
      <c r="G27" s="72">
        <f t="shared" si="0"/>
        <v>286.59199440816332</v>
      </c>
      <c r="I27" s="69" t="s">
        <v>175</v>
      </c>
      <c r="J27" s="70" t="s">
        <v>165</v>
      </c>
      <c r="K27" s="71">
        <f>Carregador!G123</f>
        <v>0.05</v>
      </c>
      <c r="L27" s="72">
        <f t="shared" si="3"/>
        <v>254.645426244898</v>
      </c>
      <c r="N27" s="69" t="s">
        <v>175</v>
      </c>
      <c r="O27" s="70" t="s">
        <v>165</v>
      </c>
      <c r="P27" s="71">
        <f>Copeiro!G123</f>
        <v>0.05</v>
      </c>
      <c r="Q27" s="72">
        <f t="shared" si="1"/>
        <v>254.645426244898</v>
      </c>
      <c r="S27" s="69" t="s">
        <v>175</v>
      </c>
      <c r="T27" s="70" t="s">
        <v>165</v>
      </c>
      <c r="U27" s="71">
        <f>Garçom!G123</f>
        <v>0.05</v>
      </c>
      <c r="V27" s="72">
        <f t="shared" si="2"/>
        <v>338.69786417687078</v>
      </c>
    </row>
    <row r="28" spans="4:22" ht="15">
      <c r="D28" s="212" t="s">
        <v>166</v>
      </c>
      <c r="E28" s="212"/>
      <c r="F28" s="82">
        <f>(1+F20)*(1+F21)/(1-F23)-1</f>
        <v>0.34693877551020447</v>
      </c>
      <c r="G28" s="81">
        <f>G22+G23</f>
        <v>1476.3830014965988</v>
      </c>
      <c r="I28" s="212" t="s">
        <v>166</v>
      </c>
      <c r="J28" s="212"/>
      <c r="K28" s="82">
        <f>(1+K20)*(1+K21)/(1-K23)-1</f>
        <v>0.34693877551020447</v>
      </c>
      <c r="L28" s="81">
        <f>L22+L23</f>
        <v>1311.8097715646259</v>
      </c>
      <c r="N28" s="212" t="s">
        <v>166</v>
      </c>
      <c r="O28" s="212"/>
      <c r="P28" s="82">
        <f>(1+P20)*(1+P21)/(1-P23)-1</f>
        <v>0.34693877551020447</v>
      </c>
      <c r="Q28" s="81">
        <f>Q22+Q23</f>
        <v>1311.8097715646259</v>
      </c>
      <c r="S28" s="212" t="s">
        <v>166</v>
      </c>
      <c r="T28" s="212"/>
      <c r="U28" s="82">
        <f>(1+U20)*(1+U21)/(1-U23)-1</f>
        <v>0.34693877551020447</v>
      </c>
      <c r="V28" s="81">
        <f>V22+V23</f>
        <v>1744.8071790929707</v>
      </c>
    </row>
    <row r="29" spans="4:22" ht="15">
      <c r="D29" s="73"/>
      <c r="E29" s="73"/>
      <c r="F29" s="73"/>
      <c r="G29" s="73"/>
      <c r="I29" s="73"/>
      <c r="J29" s="73"/>
      <c r="K29" s="73"/>
      <c r="L29" s="73"/>
      <c r="N29" s="73"/>
      <c r="O29" s="73"/>
      <c r="P29" s="73"/>
      <c r="Q29" s="73"/>
      <c r="S29" s="73"/>
      <c r="T29" s="73"/>
      <c r="U29" s="73"/>
      <c r="V29" s="73"/>
    </row>
    <row r="30" spans="4:22" ht="15">
      <c r="D30" s="212" t="s">
        <v>167</v>
      </c>
      <c r="E30" s="212"/>
      <c r="F30" s="212"/>
      <c r="G30" s="212"/>
      <c r="I30" s="212" t="s">
        <v>167</v>
      </c>
      <c r="J30" s="212"/>
      <c r="K30" s="212"/>
      <c r="L30" s="212"/>
      <c r="N30" s="212" t="s">
        <v>167</v>
      </c>
      <c r="O30" s="212"/>
      <c r="P30" s="212"/>
      <c r="Q30" s="212"/>
      <c r="S30" s="212" t="s">
        <v>167</v>
      </c>
      <c r="T30" s="212"/>
      <c r="U30" s="212"/>
      <c r="V30" s="212"/>
    </row>
    <row r="31" spans="4:22" ht="15">
      <c r="D31" s="213" t="s">
        <v>168</v>
      </c>
      <c r="E31" s="213"/>
      <c r="F31" s="213"/>
      <c r="G31" s="84" t="s">
        <v>53</v>
      </c>
      <c r="I31" s="213" t="s">
        <v>168</v>
      </c>
      <c r="J31" s="213"/>
      <c r="K31" s="213"/>
      <c r="L31" s="84" t="s">
        <v>53</v>
      </c>
      <c r="N31" s="213" t="s">
        <v>168</v>
      </c>
      <c r="O31" s="213"/>
      <c r="P31" s="213"/>
      <c r="Q31" s="84" t="s">
        <v>53</v>
      </c>
      <c r="S31" s="213" t="s">
        <v>168</v>
      </c>
      <c r="T31" s="213"/>
      <c r="U31" s="213"/>
      <c r="V31" s="84" t="s">
        <v>53</v>
      </c>
    </row>
    <row r="32" spans="4:22" ht="15">
      <c r="D32" s="69" t="s">
        <v>6</v>
      </c>
      <c r="E32" s="214" t="s">
        <v>155</v>
      </c>
      <c r="F32" s="214"/>
      <c r="G32" s="76">
        <f>G10</f>
        <v>3198.7768866666665</v>
      </c>
      <c r="I32" s="69" t="s">
        <v>6</v>
      </c>
      <c r="J32" s="214" t="s">
        <v>155</v>
      </c>
      <c r="K32" s="214"/>
      <c r="L32" s="76">
        <f>L10</f>
        <v>2724.4187533333334</v>
      </c>
      <c r="N32" s="69" t="s">
        <v>6</v>
      </c>
      <c r="O32" s="214" t="s">
        <v>155</v>
      </c>
      <c r="P32" s="214"/>
      <c r="Q32" s="76">
        <f>Q10</f>
        <v>2724.4187533333334</v>
      </c>
      <c r="S32" s="69" t="s">
        <v>6</v>
      </c>
      <c r="T32" s="214" t="s">
        <v>155</v>
      </c>
      <c r="U32" s="214"/>
      <c r="V32" s="76">
        <f>V10</f>
        <v>4022.3101044444438</v>
      </c>
    </row>
    <row r="33" spans="4:22" ht="15">
      <c r="D33" s="69" t="s">
        <v>8</v>
      </c>
      <c r="E33" s="214" t="s">
        <v>158</v>
      </c>
      <c r="F33" s="214"/>
      <c r="G33" s="76">
        <f>G15</f>
        <v>1056.6799999999998</v>
      </c>
      <c r="I33" s="69" t="s">
        <v>8</v>
      </c>
      <c r="J33" s="214" t="s">
        <v>158</v>
      </c>
      <c r="K33" s="214"/>
      <c r="L33" s="76">
        <f>L15</f>
        <v>1056.6799999999998</v>
      </c>
      <c r="N33" s="69" t="s">
        <v>8</v>
      </c>
      <c r="O33" s="214" t="s">
        <v>158</v>
      </c>
      <c r="P33" s="214"/>
      <c r="Q33" s="76">
        <f>Q15</f>
        <v>1056.6799999999998</v>
      </c>
      <c r="S33" s="69" t="s">
        <v>8</v>
      </c>
      <c r="T33" s="214" t="s">
        <v>158</v>
      </c>
      <c r="U33" s="214"/>
      <c r="V33" s="76">
        <f>V15</f>
        <v>1006.8399999999999</v>
      </c>
    </row>
    <row r="34" spans="4:22" ht="15">
      <c r="D34" s="69" t="s">
        <v>13</v>
      </c>
      <c r="E34" s="214" t="s">
        <v>169</v>
      </c>
      <c r="F34" s="214"/>
      <c r="G34" s="76">
        <f>G28</f>
        <v>1476.3830014965988</v>
      </c>
      <c r="I34" s="69" t="s">
        <v>13</v>
      </c>
      <c r="J34" s="214" t="s">
        <v>169</v>
      </c>
      <c r="K34" s="214"/>
      <c r="L34" s="76">
        <f>L28</f>
        <v>1311.8097715646259</v>
      </c>
      <c r="N34" s="69" t="s">
        <v>13</v>
      </c>
      <c r="O34" s="214" t="s">
        <v>169</v>
      </c>
      <c r="P34" s="214"/>
      <c r="Q34" s="76">
        <f>Q28</f>
        <v>1311.8097715646259</v>
      </c>
      <c r="S34" s="69" t="s">
        <v>13</v>
      </c>
      <c r="T34" s="214" t="s">
        <v>169</v>
      </c>
      <c r="U34" s="214"/>
      <c r="V34" s="76">
        <f>V28</f>
        <v>1744.8071790929707</v>
      </c>
    </row>
    <row r="35" spans="4:22" ht="15">
      <c r="D35" s="212" t="s">
        <v>170</v>
      </c>
      <c r="E35" s="212"/>
      <c r="F35" s="212"/>
      <c r="G35" s="83">
        <f>SUM(G32:G34)</f>
        <v>5731.8398881632656</v>
      </c>
      <c r="I35" s="212" t="s">
        <v>170</v>
      </c>
      <c r="J35" s="212"/>
      <c r="K35" s="212"/>
      <c r="L35" s="83">
        <f>SUM(L32:L34)</f>
        <v>5092.9085248979591</v>
      </c>
      <c r="N35" s="212" t="s">
        <v>170</v>
      </c>
      <c r="O35" s="212"/>
      <c r="P35" s="212"/>
      <c r="Q35" s="83">
        <f>SUM(Q32:Q34)</f>
        <v>5092.9085248979591</v>
      </c>
      <c r="S35" s="212" t="s">
        <v>170</v>
      </c>
      <c r="T35" s="212"/>
      <c r="U35" s="212"/>
      <c r="V35" s="83">
        <f>SUM(V32:V34)</f>
        <v>6773.9572835374147</v>
      </c>
    </row>
    <row r="36" spans="4:22" ht="15">
      <c r="D36" s="73"/>
      <c r="E36" s="73"/>
      <c r="F36" s="73"/>
      <c r="G36" s="73"/>
      <c r="I36" s="73"/>
      <c r="J36" s="73"/>
      <c r="K36" s="73"/>
      <c r="L36" s="73"/>
      <c r="N36" s="73"/>
      <c r="O36" s="73"/>
      <c r="P36" s="73"/>
      <c r="Q36" s="73"/>
      <c r="S36" s="73"/>
      <c r="T36" s="73"/>
      <c r="U36" s="73"/>
      <c r="V36" s="73"/>
    </row>
    <row r="37" spans="4:22" ht="15">
      <c r="D37" s="214" t="s">
        <v>171</v>
      </c>
      <c r="E37" s="214"/>
      <c r="F37" s="214"/>
      <c r="G37" s="76">
        <f>'Serv. de limpeza'!H134*12</f>
        <v>98383.503010122426</v>
      </c>
      <c r="I37" s="214" t="s">
        <v>171</v>
      </c>
      <c r="J37" s="214"/>
      <c r="K37" s="214"/>
      <c r="L37" s="76">
        <f>Carregador!H134*12</f>
        <v>73343.399731755111</v>
      </c>
      <c r="N37" s="214" t="s">
        <v>171</v>
      </c>
      <c r="O37" s="214"/>
      <c r="P37" s="214"/>
      <c r="Q37" s="76">
        <f>Copeiro!H134*12</f>
        <v>82356.533150122457</v>
      </c>
      <c r="S37" s="214" t="s">
        <v>171</v>
      </c>
      <c r="T37" s="214"/>
      <c r="U37" s="214"/>
      <c r="V37" s="76">
        <f>Garçom!H134*12</f>
        <v>105697.44882968705</v>
      </c>
    </row>
    <row r="38" spans="4:22" ht="15">
      <c r="D38" s="214" t="s">
        <v>172</v>
      </c>
      <c r="E38" s="214"/>
      <c r="F38" s="214"/>
      <c r="G38" s="76">
        <f>G37-G35</f>
        <v>92651.663121959165</v>
      </c>
      <c r="I38" s="214" t="s">
        <v>172</v>
      </c>
      <c r="J38" s="214"/>
      <c r="K38" s="214"/>
      <c r="L38" s="76">
        <f>L37-L35</f>
        <v>68250.491206857158</v>
      </c>
      <c r="N38" s="214" t="s">
        <v>172</v>
      </c>
      <c r="O38" s="214"/>
      <c r="P38" s="214"/>
      <c r="Q38" s="76">
        <f>Q37-Q35</f>
        <v>77263.624625224504</v>
      </c>
      <c r="S38" s="214" t="s">
        <v>172</v>
      </c>
      <c r="T38" s="214"/>
      <c r="U38" s="214"/>
      <c r="V38" s="76">
        <f>V37-V35</f>
        <v>98923.491546149642</v>
      </c>
    </row>
    <row r="39" spans="4:22" ht="15">
      <c r="D39" s="214" t="s">
        <v>173</v>
      </c>
      <c r="E39" s="214"/>
      <c r="F39" s="214"/>
      <c r="G39" s="76">
        <f>'Serv. de limpeza'!H134</f>
        <v>8198.6252508435355</v>
      </c>
      <c r="I39" s="214" t="s">
        <v>173</v>
      </c>
      <c r="J39" s="214"/>
      <c r="K39" s="214"/>
      <c r="L39" s="76">
        <f>Carregador!H134</f>
        <v>6111.949977646259</v>
      </c>
      <c r="N39" s="214" t="s">
        <v>173</v>
      </c>
      <c r="O39" s="214"/>
      <c r="P39" s="214"/>
      <c r="Q39" s="76">
        <f>Copeiro!H134</f>
        <v>6863.0444291768717</v>
      </c>
      <c r="S39" s="214" t="s">
        <v>173</v>
      </c>
      <c r="T39" s="214"/>
      <c r="U39" s="214"/>
      <c r="V39" s="76">
        <f>Garçom!H134</f>
        <v>8808.1207358072552</v>
      </c>
    </row>
    <row r="40" spans="4:22" ht="15">
      <c r="D40" s="212" t="s">
        <v>174</v>
      </c>
      <c r="E40" s="212"/>
      <c r="F40" s="212"/>
      <c r="G40" s="82">
        <f>G35/G39</f>
        <v>0.69912207385909375</v>
      </c>
      <c r="I40" s="212" t="s">
        <v>174</v>
      </c>
      <c r="J40" s="212"/>
      <c r="K40" s="212"/>
      <c r="L40" s="82">
        <f>L35/L39</f>
        <v>0.83327064906039405</v>
      </c>
      <c r="N40" s="212" t="s">
        <v>174</v>
      </c>
      <c r="O40" s="212"/>
      <c r="P40" s="212"/>
      <c r="Q40" s="82">
        <f>Q35/Q39</f>
        <v>0.74207716086558739</v>
      </c>
      <c r="S40" s="212" t="s">
        <v>174</v>
      </c>
      <c r="T40" s="212"/>
      <c r="U40" s="212"/>
      <c r="V40" s="82">
        <f>V35/V39</f>
        <v>0.76905817786983233</v>
      </c>
    </row>
  </sheetData>
  <mergeCells count="88">
    <mergeCell ref="D40:F40"/>
    <mergeCell ref="E12:F12"/>
    <mergeCell ref="E13:F13"/>
    <mergeCell ref="E14:F14"/>
    <mergeCell ref="D15:F15"/>
    <mergeCell ref="D17:F17"/>
    <mergeCell ref="D28:E28"/>
    <mergeCell ref="D35:F35"/>
    <mergeCell ref="D37:F37"/>
    <mergeCell ref="D38:F38"/>
    <mergeCell ref="D39:F39"/>
    <mergeCell ref="E34:F34"/>
    <mergeCell ref="D3:G3"/>
    <mergeCell ref="D4:D5"/>
    <mergeCell ref="E4:E5"/>
    <mergeCell ref="F4:G4"/>
    <mergeCell ref="D9:F9"/>
    <mergeCell ref="D10:F10"/>
    <mergeCell ref="D30:G30"/>
    <mergeCell ref="D31:F31"/>
    <mergeCell ref="E32:F32"/>
    <mergeCell ref="E33:F33"/>
    <mergeCell ref="I40:K40"/>
    <mergeCell ref="N3:Q3"/>
    <mergeCell ref="N4:N5"/>
    <mergeCell ref="O4:O5"/>
    <mergeCell ref="P4:Q4"/>
    <mergeCell ref="N9:P9"/>
    <mergeCell ref="N10:P10"/>
    <mergeCell ref="I30:L30"/>
    <mergeCell ref="I31:K31"/>
    <mergeCell ref="J32:K32"/>
    <mergeCell ref="J33:K33"/>
    <mergeCell ref="J34:K34"/>
    <mergeCell ref="I35:K35"/>
    <mergeCell ref="J4:J5"/>
    <mergeCell ref="K4:L4"/>
    <mergeCell ref="J12:K12"/>
    <mergeCell ref="I9:K9"/>
    <mergeCell ref="I3:L3"/>
    <mergeCell ref="I4:I5"/>
    <mergeCell ref="N37:P37"/>
    <mergeCell ref="N38:P38"/>
    <mergeCell ref="I10:K10"/>
    <mergeCell ref="I28:J28"/>
    <mergeCell ref="J13:K13"/>
    <mergeCell ref="J14:K14"/>
    <mergeCell ref="I15:K15"/>
    <mergeCell ref="I17:K17"/>
    <mergeCell ref="N39:P39"/>
    <mergeCell ref="N15:P15"/>
    <mergeCell ref="N17:P17"/>
    <mergeCell ref="N28:O28"/>
    <mergeCell ref="I37:K37"/>
    <mergeCell ref="I38:K38"/>
    <mergeCell ref="I39:K39"/>
    <mergeCell ref="N40:P40"/>
    <mergeCell ref="S3:V3"/>
    <mergeCell ref="S4:S5"/>
    <mergeCell ref="T4:T5"/>
    <mergeCell ref="U4:V4"/>
    <mergeCell ref="S9:U9"/>
    <mergeCell ref="S10:U10"/>
    <mergeCell ref="N30:Q30"/>
    <mergeCell ref="N31:P31"/>
    <mergeCell ref="O32:P32"/>
    <mergeCell ref="O33:P33"/>
    <mergeCell ref="O34:P34"/>
    <mergeCell ref="N35:P35"/>
    <mergeCell ref="O12:P12"/>
    <mergeCell ref="O13:P13"/>
    <mergeCell ref="O14:P14"/>
    <mergeCell ref="S40:U40"/>
    <mergeCell ref="T33:U33"/>
    <mergeCell ref="T34:U34"/>
    <mergeCell ref="S35:U35"/>
    <mergeCell ref="S37:U37"/>
    <mergeCell ref="S38:U38"/>
    <mergeCell ref="S39:U39"/>
    <mergeCell ref="S30:V30"/>
    <mergeCell ref="S31:U31"/>
    <mergeCell ref="T32:U32"/>
    <mergeCell ref="T12:U12"/>
    <mergeCell ref="T13:U13"/>
    <mergeCell ref="T14:U14"/>
    <mergeCell ref="S15:U15"/>
    <mergeCell ref="S17:U17"/>
    <mergeCell ref="S28:T28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35"/>
  <sheetViews>
    <sheetView view="pageBreakPreview" topLeftCell="A28" zoomScale="130" zoomScaleNormal="100" zoomScaleSheetLayoutView="130" workbookViewId="0">
      <selection activeCell="H112" sqref="H112"/>
    </sheetView>
  </sheetViews>
  <sheetFormatPr defaultColWidth="9.140625" defaultRowHeight="18.399999999999999" customHeight="1"/>
  <cols>
    <col min="1" max="1" width="1.7109375" style="12" customWidth="1"/>
    <col min="2" max="2" width="7" style="15" customWidth="1"/>
    <col min="3" max="3" width="38.85546875" style="15" customWidth="1"/>
    <col min="4" max="4" width="19.85546875" style="15" hidden="1" customWidth="1"/>
    <col min="5" max="5" width="23.140625" style="15" customWidth="1"/>
    <col min="6" max="6" width="32.85546875" style="15" customWidth="1"/>
    <col min="7" max="7" width="10.28515625" style="15" customWidth="1"/>
    <col min="8" max="8" width="20.7109375" style="15" customWidth="1"/>
    <col min="9" max="9" width="9.140625" style="2" customWidth="1"/>
    <col min="10" max="10" width="44.7109375" style="2" customWidth="1"/>
    <col min="11" max="11" width="9" style="2" customWidth="1"/>
    <col min="12" max="12" width="13.5703125" style="2" customWidth="1"/>
    <col min="13" max="1025" width="9" style="2" customWidth="1"/>
    <col min="1026" max="1026" width="9.140625" style="2" customWidth="1"/>
    <col min="1027" max="16384" width="9.140625" style="2"/>
  </cols>
  <sheetData>
    <row r="1" spans="2:8" ht="12.75" customHeight="1">
      <c r="B1" s="174" t="s">
        <v>34</v>
      </c>
      <c r="C1" s="174"/>
      <c r="D1" s="174"/>
      <c r="E1" s="174"/>
      <c r="F1" s="174"/>
      <c r="G1" s="174"/>
      <c r="H1" s="174"/>
    </row>
    <row r="2" spans="2:8" ht="12.75" customHeight="1">
      <c r="B2" s="174"/>
      <c r="C2" s="174"/>
      <c r="D2" s="174"/>
      <c r="E2" s="174"/>
      <c r="F2" s="174"/>
      <c r="G2" s="174"/>
      <c r="H2" s="174"/>
    </row>
    <row r="3" spans="2:8" ht="18.399999999999999" customHeight="1">
      <c r="B3" s="176" t="s">
        <v>127</v>
      </c>
      <c r="C3" s="177"/>
      <c r="D3" s="177"/>
      <c r="E3" s="177"/>
      <c r="F3" s="177"/>
      <c r="G3" s="177"/>
      <c r="H3" s="178"/>
    </row>
    <row r="4" spans="2:8" ht="18.399999999999999" customHeight="1">
      <c r="B4" s="176" t="s">
        <v>128</v>
      </c>
      <c r="C4" s="177"/>
      <c r="D4" s="177"/>
      <c r="E4" s="178"/>
      <c r="F4" s="96" t="s">
        <v>142</v>
      </c>
      <c r="G4" s="175">
        <f>'Informações Gerais'!H5</f>
        <v>1518</v>
      </c>
      <c r="H4" s="175"/>
    </row>
    <row r="5" spans="2:8" ht="18.399999999999999" customHeight="1">
      <c r="B5" s="144"/>
      <c r="C5" s="144"/>
      <c r="D5" s="144"/>
      <c r="E5" s="144"/>
      <c r="F5" s="144"/>
      <c r="G5" s="144"/>
      <c r="H5" s="144"/>
    </row>
    <row r="6" spans="2:8" ht="18.399999999999999" customHeight="1">
      <c r="B6" s="142" t="s">
        <v>35</v>
      </c>
      <c r="C6" s="142"/>
      <c r="D6" s="142"/>
      <c r="E6" s="142"/>
      <c r="F6" s="142"/>
      <c r="G6" s="142"/>
      <c r="H6" s="142"/>
    </row>
    <row r="7" spans="2:8" ht="14.25">
      <c r="B7" s="13" t="s">
        <v>6</v>
      </c>
      <c r="C7" s="148" t="s">
        <v>36</v>
      </c>
      <c r="D7" s="148"/>
      <c r="E7" s="148"/>
      <c r="F7" s="148"/>
      <c r="G7" s="173"/>
      <c r="H7" s="173"/>
    </row>
    <row r="8" spans="2:8" ht="14.25">
      <c r="B8" s="13" t="s">
        <v>8</v>
      </c>
      <c r="C8" s="148" t="s">
        <v>37</v>
      </c>
      <c r="D8" s="148"/>
      <c r="E8" s="148"/>
      <c r="F8" s="148"/>
      <c r="G8" s="163"/>
      <c r="H8" s="163"/>
    </row>
    <row r="9" spans="2:8" ht="14.25">
      <c r="B9" s="13" t="s">
        <v>13</v>
      </c>
      <c r="C9" s="148" t="s">
        <v>38</v>
      </c>
      <c r="D9" s="148"/>
      <c r="E9" s="148"/>
      <c r="F9" s="148"/>
      <c r="G9" s="163"/>
      <c r="H9" s="163"/>
    </row>
    <row r="10" spans="2:8" ht="14.25">
      <c r="B10" s="13" t="s">
        <v>14</v>
      </c>
      <c r="C10" s="148" t="s">
        <v>39</v>
      </c>
      <c r="D10" s="148"/>
      <c r="E10" s="148"/>
      <c r="F10" s="148"/>
      <c r="G10" s="163"/>
      <c r="H10" s="163"/>
    </row>
    <row r="11" spans="2:8" ht="18.399999999999999" customHeight="1">
      <c r="B11" s="150"/>
      <c r="C11" s="150"/>
      <c r="D11" s="150"/>
      <c r="E11" s="150"/>
      <c r="F11" s="150"/>
      <c r="G11" s="150"/>
      <c r="H11" s="150"/>
    </row>
    <row r="12" spans="2:8" ht="18.399999999999999" customHeight="1">
      <c r="B12" s="142" t="s">
        <v>40</v>
      </c>
      <c r="C12" s="142"/>
      <c r="D12" s="142"/>
      <c r="E12" s="142"/>
      <c r="F12" s="142"/>
      <c r="G12" s="142"/>
      <c r="H12" s="142"/>
    </row>
    <row r="13" spans="2:8" ht="14.25">
      <c r="B13" s="169" t="s">
        <v>41</v>
      </c>
      <c r="C13" s="169"/>
      <c r="D13" s="169"/>
      <c r="E13" s="170" t="s">
        <v>42</v>
      </c>
      <c r="F13" s="170"/>
      <c r="G13" s="169" t="s">
        <v>43</v>
      </c>
      <c r="H13" s="169"/>
    </row>
    <row r="14" spans="2:8" ht="14.25">
      <c r="B14" s="169" t="s">
        <v>234</v>
      </c>
      <c r="C14" s="169"/>
      <c r="D14" s="169"/>
      <c r="E14" s="170" t="s">
        <v>129</v>
      </c>
      <c r="F14" s="170"/>
      <c r="G14" s="171">
        <v>2</v>
      </c>
      <c r="H14" s="169"/>
    </row>
    <row r="15" spans="2:8" ht="18.399999999999999" customHeight="1">
      <c r="B15" s="150"/>
      <c r="C15" s="150"/>
      <c r="D15" s="150"/>
      <c r="E15" s="150"/>
      <c r="F15" s="150"/>
      <c r="G15" s="150"/>
      <c r="H15" s="150"/>
    </row>
    <row r="16" spans="2:8" ht="18.399999999999999" customHeight="1">
      <c r="B16" s="142" t="s">
        <v>44</v>
      </c>
      <c r="C16" s="142"/>
      <c r="D16" s="142"/>
      <c r="E16" s="142"/>
      <c r="F16" s="142"/>
      <c r="G16" s="142"/>
      <c r="H16" s="142"/>
    </row>
    <row r="17" spans="2:8" ht="18.399999999999999" customHeight="1">
      <c r="B17" s="172" t="s">
        <v>45</v>
      </c>
      <c r="C17" s="172"/>
      <c r="D17" s="172"/>
      <c r="E17" s="172"/>
      <c r="F17" s="172"/>
      <c r="G17" s="172"/>
      <c r="H17" s="172"/>
    </row>
    <row r="18" spans="2:8" ht="14.25">
      <c r="B18" s="13">
        <v>1</v>
      </c>
      <c r="C18" s="158" t="s">
        <v>46</v>
      </c>
      <c r="D18" s="158"/>
      <c r="E18" s="158"/>
      <c r="F18" s="158"/>
      <c r="G18" s="163"/>
      <c r="H18" s="164"/>
    </row>
    <row r="19" spans="2:8" ht="14.25">
      <c r="B19" s="13">
        <v>2</v>
      </c>
      <c r="C19" s="158" t="s">
        <v>47</v>
      </c>
      <c r="D19" s="158"/>
      <c r="E19" s="158"/>
      <c r="F19" s="158"/>
      <c r="G19" s="163"/>
      <c r="H19" s="164"/>
    </row>
    <row r="20" spans="2:8" ht="14.25">
      <c r="B20" s="13">
        <v>3</v>
      </c>
      <c r="C20" s="158" t="s">
        <v>48</v>
      </c>
      <c r="D20" s="158"/>
      <c r="E20" s="158"/>
      <c r="F20" s="158"/>
      <c r="G20" s="167">
        <f>CCT!D6</f>
        <v>1743.69</v>
      </c>
      <c r="H20" s="168"/>
    </row>
    <row r="21" spans="2:8" ht="14.25">
      <c r="B21" s="13">
        <v>4</v>
      </c>
      <c r="C21" s="158" t="s">
        <v>49</v>
      </c>
      <c r="D21" s="158"/>
      <c r="E21" s="158"/>
      <c r="F21" s="158"/>
      <c r="G21" s="163"/>
      <c r="H21" s="164"/>
    </row>
    <row r="22" spans="2:8" ht="14.25">
      <c r="B22" s="13">
        <v>5</v>
      </c>
      <c r="C22" s="158" t="s">
        <v>50</v>
      </c>
      <c r="D22" s="158"/>
      <c r="E22" s="158"/>
      <c r="F22" s="158"/>
      <c r="G22" s="165"/>
      <c r="H22" s="166"/>
    </row>
    <row r="23" spans="2:8" ht="18.399999999999999" customHeight="1">
      <c r="B23" s="150"/>
      <c r="C23" s="150"/>
      <c r="D23" s="150"/>
      <c r="E23" s="150"/>
      <c r="F23" s="150"/>
      <c r="G23" s="150"/>
      <c r="H23" s="150"/>
    </row>
    <row r="24" spans="2:8" ht="18.399999999999999" customHeight="1">
      <c r="B24" s="149" t="s">
        <v>51</v>
      </c>
      <c r="C24" s="154"/>
      <c r="D24" s="149" t="s">
        <v>52</v>
      </c>
      <c r="E24" s="153"/>
      <c r="F24" s="153"/>
      <c r="G24" s="154"/>
      <c r="H24" s="6" t="s">
        <v>53</v>
      </c>
    </row>
    <row r="25" spans="2:8" ht="14.25">
      <c r="B25" s="13" t="s">
        <v>6</v>
      </c>
      <c r="C25" s="158" t="s">
        <v>54</v>
      </c>
      <c r="D25" s="158"/>
      <c r="E25" s="158"/>
      <c r="F25" s="158"/>
      <c r="G25" s="39"/>
      <c r="H25" s="40">
        <f>G20</f>
        <v>1743.69</v>
      </c>
    </row>
    <row r="26" spans="2:8" ht="14.25">
      <c r="B26" s="13" t="s">
        <v>8</v>
      </c>
      <c r="C26" s="158" t="s">
        <v>55</v>
      </c>
      <c r="D26" s="158"/>
      <c r="E26" s="158"/>
      <c r="F26" s="158"/>
      <c r="G26" s="9">
        <f>'Informações Específicas'!D6</f>
        <v>0</v>
      </c>
      <c r="H26" s="40">
        <f>H25*G26</f>
        <v>0</v>
      </c>
    </row>
    <row r="27" spans="2:8" ht="14.25">
      <c r="B27" s="13" t="s">
        <v>13</v>
      </c>
      <c r="C27" s="158" t="s">
        <v>56</v>
      </c>
      <c r="D27" s="158"/>
      <c r="E27" s="158"/>
      <c r="F27" s="158"/>
      <c r="G27" s="9">
        <f>'Informações Específicas'!D7</f>
        <v>0.2</v>
      </c>
      <c r="H27" s="40">
        <f>G4*G27</f>
        <v>303.60000000000002</v>
      </c>
    </row>
    <row r="28" spans="2:8" ht="14.25">
      <c r="B28" s="13" t="s">
        <v>14</v>
      </c>
      <c r="C28" s="158" t="s">
        <v>57</v>
      </c>
      <c r="D28" s="158"/>
      <c r="E28" s="158"/>
      <c r="F28" s="158"/>
      <c r="G28" s="25">
        <f>'Informações Específicas'!D8</f>
        <v>0</v>
      </c>
      <c r="H28" s="40">
        <f>(H25+H26+H27)/220*G28*7*CCT!D17</f>
        <v>0</v>
      </c>
    </row>
    <row r="29" spans="2:8" ht="14.25">
      <c r="B29" s="13" t="s">
        <v>16</v>
      </c>
      <c r="C29" s="158" t="s">
        <v>58</v>
      </c>
      <c r="D29" s="158"/>
      <c r="E29" s="158"/>
      <c r="F29" s="158"/>
      <c r="G29" s="25">
        <f>'Informações Específicas'!D9</f>
        <v>0</v>
      </c>
      <c r="H29" s="40">
        <f>(H25+H26+H27)/220*G29*1*CCT!D17</f>
        <v>0</v>
      </c>
    </row>
    <row r="30" spans="2:8" ht="14.25">
      <c r="B30" s="13" t="s">
        <v>20</v>
      </c>
      <c r="C30" s="158" t="s">
        <v>184</v>
      </c>
      <c r="D30" s="158"/>
      <c r="E30" s="158"/>
      <c r="F30" s="158"/>
      <c r="G30" s="25">
        <f>'Informações Específicas'!D10</f>
        <v>0</v>
      </c>
      <c r="H30" s="40">
        <f>(H25+H26+H27+H28+H29)/220*(1+G30)*CCT!D17*CCT!D18</f>
        <v>0</v>
      </c>
    </row>
    <row r="31" spans="2:8" ht="14.25">
      <c r="B31" s="13" t="s">
        <v>18</v>
      </c>
      <c r="C31" s="158" t="s">
        <v>59</v>
      </c>
      <c r="D31" s="158"/>
      <c r="E31" s="158"/>
      <c r="F31" s="158"/>
      <c r="G31" s="9">
        <v>0</v>
      </c>
      <c r="H31" s="40">
        <v>0</v>
      </c>
    </row>
    <row r="32" spans="2:8" ht="18.399999999999999" customHeight="1">
      <c r="B32" s="149" t="s">
        <v>9</v>
      </c>
      <c r="C32" s="149"/>
      <c r="D32" s="149"/>
      <c r="E32" s="149"/>
      <c r="F32" s="149"/>
      <c r="G32" s="10">
        <f>SUM(G26:G31)</f>
        <v>0.2</v>
      </c>
      <c r="H32" s="41">
        <f>SUM(H25:H31)</f>
        <v>2047.29</v>
      </c>
    </row>
    <row r="33" spans="1:9" s="15" customFormat="1" ht="18.399999999999999" customHeight="1">
      <c r="A33" s="12"/>
      <c r="B33" s="150"/>
      <c r="C33" s="150"/>
      <c r="D33" s="150"/>
      <c r="E33" s="150"/>
      <c r="F33" s="150"/>
      <c r="G33" s="150"/>
      <c r="H33" s="150"/>
    </row>
    <row r="34" spans="1:9" ht="18.399999999999999" customHeight="1">
      <c r="B34" s="142" t="s">
        <v>60</v>
      </c>
      <c r="C34" s="142"/>
      <c r="D34" s="142" t="s">
        <v>61</v>
      </c>
      <c r="E34" s="142"/>
      <c r="F34" s="142"/>
      <c r="G34" s="142"/>
      <c r="H34" s="142"/>
    </row>
    <row r="35" spans="1:9" ht="18.399999999999999" customHeight="1">
      <c r="B35" s="150"/>
      <c r="C35" s="150"/>
      <c r="D35" s="150"/>
      <c r="E35" s="150"/>
      <c r="F35" s="150"/>
      <c r="G35" s="150"/>
      <c r="H35" s="150"/>
    </row>
    <row r="36" spans="1:9" ht="18.399999999999999" customHeight="1">
      <c r="B36" s="142" t="s">
        <v>3</v>
      </c>
      <c r="C36" s="142"/>
      <c r="D36" s="142" t="s">
        <v>4</v>
      </c>
      <c r="E36" s="142"/>
      <c r="F36" s="142"/>
      <c r="G36" s="6" t="s">
        <v>5</v>
      </c>
      <c r="H36" s="6" t="s">
        <v>62</v>
      </c>
    </row>
    <row r="37" spans="1:9" ht="14.25">
      <c r="B37" s="13" t="s">
        <v>6</v>
      </c>
      <c r="C37" s="148" t="s">
        <v>7</v>
      </c>
      <c r="D37" s="148"/>
      <c r="E37" s="148"/>
      <c r="F37" s="148"/>
      <c r="G37" s="9">
        <f>'Informações Gerais'!H9</f>
        <v>8.3333333333333329E-2</v>
      </c>
      <c r="H37" s="40">
        <f>$H$32*G37</f>
        <v>170.60749999999999</v>
      </c>
    </row>
    <row r="38" spans="1:9" ht="14.25">
      <c r="B38" s="13" t="s">
        <v>8</v>
      </c>
      <c r="C38" s="148" t="s">
        <v>136</v>
      </c>
      <c r="D38" s="148"/>
      <c r="E38" s="148"/>
      <c r="F38" s="148"/>
      <c r="G38" s="9">
        <f>'Informações Gerais'!H10</f>
        <v>0.1111111111111111</v>
      </c>
      <c r="H38" s="40">
        <f>$H$32*G38</f>
        <v>227.47666666666666</v>
      </c>
    </row>
    <row r="39" spans="1:9" ht="18.399999999999999" customHeight="1">
      <c r="B39" s="142" t="s">
        <v>9</v>
      </c>
      <c r="C39" s="142"/>
      <c r="D39" s="142"/>
      <c r="E39" s="142"/>
      <c r="F39" s="142"/>
      <c r="G39" s="10">
        <f>SUM(G37:G38)</f>
        <v>0.19444444444444442</v>
      </c>
      <c r="H39" s="41">
        <f>SUM(H37:H38)</f>
        <v>398.08416666666665</v>
      </c>
    </row>
    <row r="40" spans="1:9" ht="18.399999999999999" customHeight="1">
      <c r="B40" s="150"/>
      <c r="C40" s="150"/>
      <c r="D40" s="150"/>
      <c r="E40" s="150"/>
      <c r="F40" s="150"/>
      <c r="G40" s="150"/>
      <c r="H40" s="150"/>
    </row>
    <row r="41" spans="1:9" ht="24" customHeight="1">
      <c r="B41" s="142" t="s">
        <v>10</v>
      </c>
      <c r="C41" s="142"/>
      <c r="D41" s="142" t="s">
        <v>11</v>
      </c>
      <c r="E41" s="142"/>
      <c r="F41" s="142"/>
      <c r="G41" s="6" t="s">
        <v>5</v>
      </c>
      <c r="H41" s="6" t="s">
        <v>62</v>
      </c>
    </row>
    <row r="42" spans="1:9" ht="14.25">
      <c r="B42" s="13" t="s">
        <v>6</v>
      </c>
      <c r="C42" s="148" t="s">
        <v>12</v>
      </c>
      <c r="D42" s="148"/>
      <c r="E42" s="148"/>
      <c r="F42" s="148"/>
      <c r="G42" s="9">
        <f>'Informações Gerais'!H14</f>
        <v>0.2</v>
      </c>
      <c r="H42" s="40">
        <f>(H32+H39)*G42</f>
        <v>489.07483333333334</v>
      </c>
    </row>
    <row r="43" spans="1:9" ht="14.25">
      <c r="B43" s="13" t="s">
        <v>138</v>
      </c>
      <c r="C43" s="145" t="s">
        <v>223</v>
      </c>
      <c r="D43" s="146"/>
      <c r="E43" s="146"/>
      <c r="F43" s="147"/>
      <c r="G43" s="9">
        <f>'Informações Gerais'!H15</f>
        <v>0</v>
      </c>
      <c r="H43" s="40">
        <f>(H32+H38)*G43</f>
        <v>0</v>
      </c>
      <c r="I43" s="66"/>
    </row>
    <row r="44" spans="1:9" ht="14.25">
      <c r="B44" s="13" t="s">
        <v>8</v>
      </c>
      <c r="C44" s="148" t="s">
        <v>121</v>
      </c>
      <c r="D44" s="148"/>
      <c r="E44" s="148"/>
      <c r="F44" s="148"/>
      <c r="G44" s="9">
        <f>'Informações Gerais'!H16</f>
        <v>2.5000000000000001E-2</v>
      </c>
      <c r="H44" s="40">
        <f>($H$32+$H$39)*G44</f>
        <v>61.134354166666668</v>
      </c>
    </row>
    <row r="45" spans="1:9" ht="14.25">
      <c r="B45" s="13" t="s">
        <v>13</v>
      </c>
      <c r="C45" s="148" t="s">
        <v>122</v>
      </c>
      <c r="D45" s="148"/>
      <c r="E45" s="148"/>
      <c r="F45" s="148"/>
      <c r="G45" s="9">
        <f>'Informações Gerais'!H17</f>
        <v>0.03</v>
      </c>
      <c r="H45" s="40">
        <f t="shared" ref="H45:H50" si="0">($H$32+$H$39)*G45</f>
        <v>73.36122499999999</v>
      </c>
      <c r="I45" s="66"/>
    </row>
    <row r="46" spans="1:9" ht="14.25">
      <c r="B46" s="13" t="s">
        <v>14</v>
      </c>
      <c r="C46" s="148" t="s">
        <v>15</v>
      </c>
      <c r="D46" s="148"/>
      <c r="E46" s="148"/>
      <c r="F46" s="148"/>
      <c r="G46" s="9">
        <f>'Informações Gerais'!H18</f>
        <v>1.4999999999999999E-2</v>
      </c>
      <c r="H46" s="40">
        <f t="shared" si="0"/>
        <v>36.680612499999995</v>
      </c>
      <c r="I46" s="66"/>
    </row>
    <row r="47" spans="1:9" ht="14.25">
      <c r="B47" s="13" t="s">
        <v>16</v>
      </c>
      <c r="C47" s="148" t="s">
        <v>17</v>
      </c>
      <c r="D47" s="148"/>
      <c r="E47" s="148"/>
      <c r="F47" s="148"/>
      <c r="G47" s="9">
        <f>'Informações Gerais'!H19</f>
        <v>0.01</v>
      </c>
      <c r="H47" s="40">
        <f t="shared" si="0"/>
        <v>24.453741666666666</v>
      </c>
    </row>
    <row r="48" spans="1:9" ht="14.25">
      <c r="B48" s="13" t="s">
        <v>18</v>
      </c>
      <c r="C48" s="148" t="s">
        <v>19</v>
      </c>
      <c r="D48" s="148"/>
      <c r="E48" s="148"/>
      <c r="F48" s="148"/>
      <c r="G48" s="9">
        <f>'Informações Gerais'!H20</f>
        <v>6.0000000000000001E-3</v>
      </c>
      <c r="H48" s="40">
        <f t="shared" si="0"/>
        <v>14.672244999999998</v>
      </c>
    </row>
    <row r="49" spans="2:8" ht="14.25">
      <c r="B49" s="13" t="s">
        <v>20</v>
      </c>
      <c r="C49" s="148" t="s">
        <v>21</v>
      </c>
      <c r="D49" s="148"/>
      <c r="E49" s="148"/>
      <c r="F49" s="148"/>
      <c r="G49" s="9">
        <f>'Informações Gerais'!H21</f>
        <v>2E-3</v>
      </c>
      <c r="H49" s="40">
        <f t="shared" si="0"/>
        <v>4.8907483333333328</v>
      </c>
    </row>
    <row r="50" spans="2:8" ht="14.25">
      <c r="B50" s="13" t="s">
        <v>22</v>
      </c>
      <c r="C50" s="148" t="s">
        <v>23</v>
      </c>
      <c r="D50" s="148"/>
      <c r="E50" s="148"/>
      <c r="F50" s="148"/>
      <c r="G50" s="9">
        <f>'Informações Gerais'!H22</f>
        <v>0.08</v>
      </c>
      <c r="H50" s="40">
        <f t="shared" si="0"/>
        <v>195.62993333333333</v>
      </c>
    </row>
    <row r="51" spans="2:8" ht="18.399999999999999" customHeight="1">
      <c r="B51" s="142" t="s">
        <v>9</v>
      </c>
      <c r="C51" s="142"/>
      <c r="D51" s="142"/>
      <c r="E51" s="142"/>
      <c r="F51" s="142"/>
      <c r="G51" s="10">
        <f>SUM(G42:G50)</f>
        <v>0.36800000000000005</v>
      </c>
      <c r="H51" s="41">
        <f>SUM(H42:H50)</f>
        <v>899.89769333333334</v>
      </c>
    </row>
    <row r="52" spans="2:8" ht="18.399999999999999" customHeight="1">
      <c r="B52" s="150"/>
      <c r="C52" s="150"/>
      <c r="D52" s="150"/>
      <c r="E52" s="150"/>
      <c r="F52" s="150"/>
      <c r="G52" s="150"/>
      <c r="H52" s="150"/>
    </row>
    <row r="53" spans="2:8" ht="18.399999999999999" customHeight="1">
      <c r="B53" s="142" t="s">
        <v>63</v>
      </c>
      <c r="C53" s="142"/>
      <c r="D53" s="149" t="s">
        <v>64</v>
      </c>
      <c r="E53" s="153"/>
      <c r="F53" s="153"/>
      <c r="G53" s="154"/>
      <c r="H53" s="6" t="s">
        <v>62</v>
      </c>
    </row>
    <row r="54" spans="2:8" ht="14.25">
      <c r="B54" s="13" t="s">
        <v>6</v>
      </c>
      <c r="C54" s="159" t="s">
        <v>215</v>
      </c>
      <c r="D54" s="160"/>
      <c r="E54" s="160"/>
      <c r="F54" s="160"/>
      <c r="G54" s="161"/>
      <c r="H54" s="60">
        <f>ROUND(IF((CCT!D7*2*CCT!D17)-(CCT!D6*CCT!D22)&gt;=0,(CCT!D7*2*CCT!D17)-(CCT!D6*CCT!D22),0),2)</f>
        <v>126.38</v>
      </c>
    </row>
    <row r="55" spans="2:8" ht="14.25">
      <c r="B55" s="13" t="s">
        <v>8</v>
      </c>
      <c r="C55" s="159" t="s">
        <v>216</v>
      </c>
      <c r="D55" s="160"/>
      <c r="E55" s="160"/>
      <c r="F55" s="160"/>
      <c r="G55" s="161"/>
      <c r="H55" s="60">
        <f>CCT!D8-CCT!D8*CCT!D23</f>
        <v>930.3</v>
      </c>
    </row>
    <row r="56" spans="2:8" ht="14.25">
      <c r="B56" s="13" t="s">
        <v>13</v>
      </c>
      <c r="C56" s="159" t="s">
        <v>217</v>
      </c>
      <c r="D56" s="160"/>
      <c r="E56" s="160"/>
      <c r="F56" s="160"/>
      <c r="G56" s="161"/>
      <c r="H56" s="60">
        <f>CCT!D9</f>
        <v>200</v>
      </c>
    </row>
    <row r="57" spans="2:8" ht="14.25">
      <c r="B57" s="13" t="s">
        <v>14</v>
      </c>
      <c r="C57" s="159" t="s">
        <v>218</v>
      </c>
      <c r="D57" s="160"/>
      <c r="E57" s="160"/>
      <c r="F57" s="160"/>
      <c r="G57" s="161"/>
      <c r="H57" s="60">
        <f>CCT!D10</f>
        <v>13.64</v>
      </c>
    </row>
    <row r="58" spans="2:8" ht="14.25">
      <c r="B58" s="13" t="s">
        <v>16</v>
      </c>
      <c r="C58" s="159" t="s">
        <v>221</v>
      </c>
      <c r="D58" s="160"/>
      <c r="E58" s="160"/>
      <c r="F58" s="160"/>
      <c r="G58" s="161"/>
      <c r="H58" s="60">
        <f>CCT!D11</f>
        <v>3.61</v>
      </c>
    </row>
    <row r="59" spans="2:8" ht="14.25">
      <c r="B59" s="13" t="s">
        <v>18</v>
      </c>
      <c r="C59" s="159" t="s">
        <v>222</v>
      </c>
      <c r="D59" s="160"/>
      <c r="E59" s="160"/>
      <c r="F59" s="160"/>
      <c r="G59" s="161"/>
      <c r="H59" s="60">
        <f>CCT!D12</f>
        <v>0</v>
      </c>
    </row>
    <row r="60" spans="2:8" ht="14.25">
      <c r="B60" s="13" t="s">
        <v>20</v>
      </c>
      <c r="C60" s="159" t="s">
        <v>132</v>
      </c>
      <c r="D60" s="160"/>
      <c r="E60" s="160"/>
      <c r="F60" s="160"/>
      <c r="G60" s="161"/>
      <c r="H60" s="60">
        <f>CCT!D13</f>
        <v>0</v>
      </c>
    </row>
    <row r="61" spans="2:8" ht="14.25">
      <c r="B61" s="13" t="s">
        <v>22</v>
      </c>
      <c r="C61" s="159" t="s">
        <v>132</v>
      </c>
      <c r="D61" s="160"/>
      <c r="E61" s="160"/>
      <c r="F61" s="160"/>
      <c r="G61" s="161"/>
      <c r="H61" s="60">
        <f>CCT!D14</f>
        <v>0</v>
      </c>
    </row>
    <row r="62" spans="2:8" ht="14.25">
      <c r="B62" s="13" t="s">
        <v>123</v>
      </c>
      <c r="C62" s="159" t="s">
        <v>132</v>
      </c>
      <c r="D62" s="160"/>
      <c r="E62" s="160"/>
      <c r="F62" s="160"/>
      <c r="G62" s="161"/>
      <c r="H62" s="60">
        <f>CCT!D15</f>
        <v>0</v>
      </c>
    </row>
    <row r="63" spans="2:8" ht="18.399999999999999" customHeight="1">
      <c r="B63" s="149" t="s">
        <v>9</v>
      </c>
      <c r="C63" s="153"/>
      <c r="D63" s="153"/>
      <c r="E63" s="153"/>
      <c r="F63" s="153"/>
      <c r="G63" s="162"/>
      <c r="H63" s="41">
        <f>SUM(H54:H62)</f>
        <v>1273.9299999999998</v>
      </c>
    </row>
    <row r="64" spans="2:8" ht="18.399999999999999" customHeight="1">
      <c r="B64" s="150"/>
      <c r="C64" s="150"/>
      <c r="D64" s="150"/>
      <c r="E64" s="150"/>
      <c r="F64" s="150"/>
      <c r="G64" s="150"/>
      <c r="H64" s="150"/>
    </row>
    <row r="65" spans="1:18" ht="18.399999999999999" customHeight="1">
      <c r="B65" s="142" t="s">
        <v>196</v>
      </c>
      <c r="C65" s="142"/>
      <c r="D65" s="142" t="s">
        <v>203</v>
      </c>
      <c r="E65" s="142"/>
      <c r="F65" s="142"/>
      <c r="G65" s="142"/>
      <c r="H65" s="6" t="s">
        <v>62</v>
      </c>
    </row>
    <row r="66" spans="1:18" ht="18.399999999999999" customHeight="1">
      <c r="B66" s="13" t="s">
        <v>6</v>
      </c>
      <c r="C66" s="145" t="s">
        <v>214</v>
      </c>
      <c r="D66" s="146"/>
      <c r="E66" s="146"/>
      <c r="F66" s="146"/>
      <c r="G66" s="147"/>
      <c r="H66" s="40">
        <f>H32/220*(1+50%)*CCT!D19*CCT!D17*'Informações Gerais'!H26</f>
        <v>0</v>
      </c>
    </row>
    <row r="67" spans="1:18" ht="18.399999999999999" customHeight="1">
      <c r="B67" s="149" t="s">
        <v>9</v>
      </c>
      <c r="C67" s="149"/>
      <c r="D67" s="149"/>
      <c r="E67" s="149"/>
      <c r="F67" s="149"/>
      <c r="G67" s="16"/>
      <c r="H67" s="41">
        <f>H66</f>
        <v>0</v>
      </c>
    </row>
    <row r="68" spans="1:18" ht="18.399999999999999" customHeight="1">
      <c r="B68" s="150"/>
      <c r="C68" s="150"/>
      <c r="D68" s="150"/>
      <c r="E68" s="150"/>
      <c r="F68" s="150"/>
      <c r="G68" s="150"/>
      <c r="H68" s="150"/>
    </row>
    <row r="69" spans="1:18" ht="18.399999999999999" customHeight="1">
      <c r="B69" s="142" t="s">
        <v>65</v>
      </c>
      <c r="C69" s="142"/>
      <c r="D69" s="142"/>
      <c r="E69" s="142"/>
      <c r="F69" s="142"/>
      <c r="G69" s="142"/>
      <c r="H69" s="142"/>
    </row>
    <row r="70" spans="1:18" ht="18.399999999999999" customHeight="1">
      <c r="B70" s="6">
        <v>2</v>
      </c>
      <c r="C70" s="142" t="s">
        <v>66</v>
      </c>
      <c r="D70" s="142"/>
      <c r="E70" s="142"/>
      <c r="F70" s="142"/>
      <c r="G70" s="142"/>
      <c r="H70" s="6" t="s">
        <v>62</v>
      </c>
    </row>
    <row r="71" spans="1:18" ht="14.25">
      <c r="B71" s="13" t="s">
        <v>67</v>
      </c>
      <c r="C71" s="158" t="s">
        <v>68</v>
      </c>
      <c r="D71" s="158"/>
      <c r="E71" s="158"/>
      <c r="F71" s="158"/>
      <c r="G71" s="9">
        <f>G39</f>
        <v>0.19444444444444442</v>
      </c>
      <c r="H71" s="40">
        <f>H39</f>
        <v>398.08416666666665</v>
      </c>
    </row>
    <row r="72" spans="1:18" ht="14.25">
      <c r="B72" s="13" t="s">
        <v>69</v>
      </c>
      <c r="C72" s="158" t="s">
        <v>70</v>
      </c>
      <c r="D72" s="158"/>
      <c r="E72" s="158"/>
      <c r="F72" s="158"/>
      <c r="G72" s="98">
        <f>G51</f>
        <v>0.36800000000000005</v>
      </c>
      <c r="H72" s="40">
        <f>H51</f>
        <v>899.89769333333334</v>
      </c>
    </row>
    <row r="73" spans="1:18" ht="14.25">
      <c r="B73" s="13" t="s">
        <v>71</v>
      </c>
      <c r="C73" s="158" t="s">
        <v>64</v>
      </c>
      <c r="D73" s="158"/>
      <c r="E73" s="158"/>
      <c r="F73" s="158"/>
      <c r="G73" s="9">
        <v>0</v>
      </c>
      <c r="H73" s="40">
        <f>H63</f>
        <v>1273.9299999999998</v>
      </c>
    </row>
    <row r="74" spans="1:18" ht="14.25">
      <c r="B74" s="106" t="s">
        <v>200</v>
      </c>
      <c r="C74" s="145" t="s">
        <v>201</v>
      </c>
      <c r="D74" s="146"/>
      <c r="E74" s="146"/>
      <c r="F74" s="147"/>
      <c r="G74" s="9">
        <v>0</v>
      </c>
      <c r="H74" s="40">
        <f>H67</f>
        <v>0</v>
      </c>
    </row>
    <row r="75" spans="1:18" ht="18.399999999999999" customHeight="1">
      <c r="B75" s="149" t="s">
        <v>9</v>
      </c>
      <c r="C75" s="149"/>
      <c r="D75" s="149"/>
      <c r="E75" s="149"/>
      <c r="F75" s="149"/>
      <c r="G75" s="10">
        <f>SUM(G71:G73)</f>
        <v>0.56244444444444452</v>
      </c>
      <c r="H75" s="41">
        <f>SUM(H71:H74)</f>
        <v>2571.9118599999997</v>
      </c>
    </row>
    <row r="76" spans="1:18" s="15" customFormat="1" ht="18.399999999999999" customHeight="1">
      <c r="A76" s="12"/>
      <c r="B76" s="144"/>
      <c r="C76" s="144"/>
      <c r="D76" s="144"/>
      <c r="E76" s="144"/>
      <c r="F76" s="144"/>
      <c r="G76" s="144"/>
      <c r="H76" s="144"/>
    </row>
    <row r="77" spans="1:18" ht="18.399999999999999" customHeight="1">
      <c r="B77" s="142" t="s">
        <v>24</v>
      </c>
      <c r="C77" s="142"/>
      <c r="D77" s="142" t="s">
        <v>25</v>
      </c>
      <c r="E77" s="142"/>
      <c r="F77" s="142"/>
      <c r="G77" s="6" t="s">
        <v>5</v>
      </c>
      <c r="H77" s="6" t="s">
        <v>62</v>
      </c>
    </row>
    <row r="78" spans="1:18" ht="14.25">
      <c r="B78" s="13" t="s">
        <v>6</v>
      </c>
      <c r="C78" s="148" t="s">
        <v>26</v>
      </c>
      <c r="D78" s="148"/>
      <c r="E78" s="148"/>
      <c r="F78" s="148"/>
      <c r="G78" s="25">
        <f>'Informações Gerais'!H30</f>
        <v>4.1666666666666666E-3</v>
      </c>
      <c r="H78" s="40">
        <f>(H32+H39)*G78</f>
        <v>10.189059027777777</v>
      </c>
      <c r="L78" s="17"/>
      <c r="M78" s="17"/>
      <c r="N78" s="17"/>
      <c r="O78" s="17"/>
      <c r="P78" s="17"/>
      <c r="Q78" s="17"/>
      <c r="R78" s="17"/>
    </row>
    <row r="79" spans="1:18" ht="14.25">
      <c r="B79" s="13" t="s">
        <v>8</v>
      </c>
      <c r="C79" s="148" t="s">
        <v>125</v>
      </c>
      <c r="D79" s="148"/>
      <c r="E79" s="148"/>
      <c r="F79" s="148"/>
      <c r="G79" s="25">
        <f>'Informações Gerais'!H31</f>
        <v>3.3333333333333332E-4</v>
      </c>
      <c r="H79" s="40">
        <f>(H32+H37)*G79</f>
        <v>0.73929916666666662</v>
      </c>
      <c r="K79" s="18"/>
      <c r="L79" s="17"/>
      <c r="M79" s="17"/>
      <c r="N79" s="17"/>
      <c r="O79" s="17"/>
      <c r="P79" s="17"/>
      <c r="Q79" s="17"/>
      <c r="R79" s="17"/>
    </row>
    <row r="80" spans="1:18" ht="14.25">
      <c r="B80" s="13" t="s">
        <v>13</v>
      </c>
      <c r="C80" s="148" t="s">
        <v>27</v>
      </c>
      <c r="D80" s="148"/>
      <c r="E80" s="148"/>
      <c r="F80" s="148"/>
      <c r="G80" s="25">
        <f>'Informações Gerais'!H32</f>
        <v>1.9444444444444445E-2</v>
      </c>
      <c r="H80" s="40">
        <f>$H$32*G80</f>
        <v>39.808416666666666</v>
      </c>
      <c r="L80" s="17"/>
      <c r="M80" s="17"/>
      <c r="N80" s="17"/>
      <c r="O80" s="17"/>
      <c r="P80" s="17"/>
      <c r="Q80" s="17"/>
      <c r="R80" s="17"/>
    </row>
    <row r="81" spans="1:18" ht="14.25">
      <c r="B81" s="13" t="s">
        <v>14</v>
      </c>
      <c r="C81" s="148" t="s">
        <v>212</v>
      </c>
      <c r="D81" s="148"/>
      <c r="E81" s="148"/>
      <c r="F81" s="148"/>
      <c r="G81" s="25">
        <f>'Informações Gerais'!H33</f>
        <v>7.1555555555555565E-3</v>
      </c>
      <c r="H81" s="40">
        <f t="shared" ref="H81:H82" si="1">$H$32*G81</f>
        <v>14.649497333333334</v>
      </c>
      <c r="L81" s="17"/>
      <c r="M81" s="17"/>
      <c r="N81" s="17"/>
      <c r="O81" s="17"/>
      <c r="P81" s="17"/>
      <c r="Q81" s="17"/>
      <c r="R81" s="17"/>
    </row>
    <row r="82" spans="1:18" ht="14.25">
      <c r="B82" s="13" t="s">
        <v>16</v>
      </c>
      <c r="C82" s="148" t="s">
        <v>124</v>
      </c>
      <c r="D82" s="148"/>
      <c r="E82" s="148"/>
      <c r="F82" s="148"/>
      <c r="G82" s="25">
        <f>'Informações Gerais'!H34</f>
        <v>0.04</v>
      </c>
      <c r="H82" s="40">
        <f t="shared" si="1"/>
        <v>81.891599999999997</v>
      </c>
      <c r="J82" s="19"/>
      <c r="L82" s="17"/>
      <c r="M82" s="17"/>
      <c r="N82" s="17"/>
      <c r="O82" s="17"/>
      <c r="P82" s="17"/>
      <c r="Q82" s="17"/>
      <c r="R82" s="17"/>
    </row>
    <row r="83" spans="1:18" ht="18.399999999999999" customHeight="1">
      <c r="B83" s="142" t="s">
        <v>9</v>
      </c>
      <c r="C83" s="142"/>
      <c r="D83" s="142"/>
      <c r="E83" s="142"/>
      <c r="F83" s="142"/>
      <c r="G83" s="10">
        <f>SUM(G78:G82)</f>
        <v>7.1099999999999997E-2</v>
      </c>
      <c r="H83" s="41">
        <f>SUM(H78:H82)</f>
        <v>147.27787219444446</v>
      </c>
    </row>
    <row r="84" spans="1:18" ht="18.399999999999999" customHeight="1">
      <c r="B84" s="150"/>
      <c r="C84" s="150"/>
      <c r="D84" s="150"/>
      <c r="E84" s="150"/>
      <c r="F84" s="150"/>
      <c r="G84" s="150"/>
      <c r="H84" s="150"/>
    </row>
    <row r="85" spans="1:18" ht="18.399999999999999" customHeight="1">
      <c r="B85" s="142" t="s">
        <v>72</v>
      </c>
      <c r="C85" s="142"/>
      <c r="D85" s="142" t="s">
        <v>73</v>
      </c>
      <c r="E85" s="142"/>
      <c r="F85" s="142"/>
      <c r="G85" s="142"/>
      <c r="H85" s="142"/>
    </row>
    <row r="86" spans="1:18" s="15" customFormat="1" ht="18.399999999999999" customHeight="1">
      <c r="A86" s="12"/>
      <c r="B86" s="141"/>
      <c r="C86" s="141"/>
      <c r="D86" s="141"/>
      <c r="E86" s="141"/>
      <c r="F86" s="141"/>
      <c r="G86" s="141"/>
      <c r="H86" s="141"/>
    </row>
    <row r="87" spans="1:18" ht="18.399999999999999" customHeight="1">
      <c r="B87" s="142" t="s">
        <v>28</v>
      </c>
      <c r="C87" s="142"/>
      <c r="D87" s="142" t="s">
        <v>29</v>
      </c>
      <c r="E87" s="142"/>
      <c r="F87" s="142"/>
      <c r="G87" s="6" t="s">
        <v>5</v>
      </c>
      <c r="H87" s="6" t="s">
        <v>62</v>
      </c>
    </row>
    <row r="88" spans="1:18" ht="14.25" customHeight="1">
      <c r="B88" s="13" t="s">
        <v>6</v>
      </c>
      <c r="C88" s="148" t="s">
        <v>192</v>
      </c>
      <c r="D88" s="148"/>
      <c r="E88" s="148"/>
      <c r="F88" s="148"/>
      <c r="G88" s="26">
        <f>'Informações Gerais'!H38</f>
        <v>1.6203703703703703E-2</v>
      </c>
      <c r="H88" s="40">
        <f>$H$32*G88</f>
        <v>33.173680555555556</v>
      </c>
    </row>
    <row r="89" spans="1:18" ht="14.25" customHeight="1">
      <c r="B89" s="13" t="s">
        <v>8</v>
      </c>
      <c r="C89" s="148" t="s">
        <v>30</v>
      </c>
      <c r="D89" s="148"/>
      <c r="E89" s="148"/>
      <c r="F89" s="148"/>
      <c r="G89" s="26">
        <f>'Informações Gerais'!H39</f>
        <v>2.8E-3</v>
      </c>
      <c r="H89" s="40">
        <f t="shared" ref="H89:H91" si="2">$H$32*G89</f>
        <v>5.7324120000000001</v>
      </c>
    </row>
    <row r="90" spans="1:18" ht="14.25" customHeight="1">
      <c r="B90" s="13" t="s">
        <v>13</v>
      </c>
      <c r="C90" s="148" t="s">
        <v>31</v>
      </c>
      <c r="D90" s="148"/>
      <c r="E90" s="148"/>
      <c r="F90" s="148"/>
      <c r="G90" s="26">
        <f>'Informações Gerais'!H40</f>
        <v>2.0000000000000001E-4</v>
      </c>
      <c r="H90" s="40">
        <f t="shared" si="2"/>
        <v>0.40945799999999999</v>
      </c>
    </row>
    <row r="91" spans="1:18" ht="14.25" customHeight="1">
      <c r="B91" s="13" t="s">
        <v>14</v>
      </c>
      <c r="C91" s="148" t="s">
        <v>32</v>
      </c>
      <c r="D91" s="148"/>
      <c r="E91" s="148"/>
      <c r="F91" s="148"/>
      <c r="G91" s="26">
        <f>'Informações Gerais'!H41</f>
        <v>1.5E-3</v>
      </c>
      <c r="H91" s="40">
        <f t="shared" si="2"/>
        <v>3.070935</v>
      </c>
    </row>
    <row r="92" spans="1:18" ht="14.25" customHeight="1">
      <c r="B92" s="13" t="s">
        <v>16</v>
      </c>
      <c r="C92" s="148" t="s">
        <v>33</v>
      </c>
      <c r="D92" s="148"/>
      <c r="E92" s="148"/>
      <c r="F92" s="148"/>
      <c r="G92" s="26">
        <f>'Informações Gerais'!H42</f>
        <v>5.9999999999999995E-4</v>
      </c>
      <c r="H92" s="40">
        <f>H39*6/12*G92</f>
        <v>0.11942525</v>
      </c>
    </row>
    <row r="93" spans="1:18" ht="14.25">
      <c r="B93" s="13" t="s">
        <v>18</v>
      </c>
      <c r="C93" s="155" t="s">
        <v>190</v>
      </c>
      <c r="D93" s="156"/>
      <c r="E93" s="156"/>
      <c r="F93" s="157"/>
      <c r="G93" s="99">
        <f>'Informações Gerais'!H43</f>
        <v>2.1303703703703703E-2</v>
      </c>
      <c r="H93" s="100">
        <f>SUM(H88:H92)</f>
        <v>42.505910805555558</v>
      </c>
    </row>
    <row r="94" spans="1:18" ht="14.25">
      <c r="B94" s="13" t="s">
        <v>20</v>
      </c>
      <c r="C94" s="145" t="s">
        <v>193</v>
      </c>
      <c r="D94" s="146"/>
      <c r="E94" s="146"/>
      <c r="F94" s="147"/>
      <c r="G94" s="26">
        <f>'Informações Gerais'!H44</f>
        <v>5.9629629629629633E-3</v>
      </c>
      <c r="H94" s="40">
        <f>G94*$H$32</f>
        <v>12.207914444444445</v>
      </c>
    </row>
    <row r="95" spans="1:18" ht="14.25">
      <c r="B95" s="13" t="s">
        <v>22</v>
      </c>
      <c r="C95" s="145" t="s">
        <v>195</v>
      </c>
      <c r="D95" s="146"/>
      <c r="E95" s="146"/>
      <c r="F95" s="147"/>
      <c r="G95" s="26">
        <f>'Informações Gerais'!H45</f>
        <v>0</v>
      </c>
      <c r="H95" s="40">
        <f>G95*$H$32</f>
        <v>0</v>
      </c>
    </row>
    <row r="96" spans="1:18" ht="18.399999999999999" customHeight="1">
      <c r="B96" s="142" t="s">
        <v>9</v>
      </c>
      <c r="C96" s="142"/>
      <c r="D96" s="142"/>
      <c r="E96" s="142"/>
      <c r="F96" s="142"/>
      <c r="G96" s="10">
        <f>G93+G94+G95</f>
        <v>2.7266666666666668E-2</v>
      </c>
      <c r="H96" s="41">
        <f>H93+H94+H95</f>
        <v>54.713825249999999</v>
      </c>
    </row>
    <row r="97" spans="2:8" ht="18.399999999999999" customHeight="1">
      <c r="B97" s="150"/>
      <c r="C97" s="150"/>
      <c r="D97" s="150"/>
      <c r="E97" s="150"/>
      <c r="F97" s="150"/>
      <c r="G97" s="150"/>
      <c r="H97" s="150"/>
    </row>
    <row r="98" spans="2:8" ht="18.399999999999999" customHeight="1">
      <c r="B98" s="142" t="s">
        <v>74</v>
      </c>
      <c r="C98" s="142"/>
      <c r="D98" s="142" t="s">
        <v>75</v>
      </c>
      <c r="E98" s="142"/>
      <c r="F98" s="142"/>
      <c r="G98" s="142"/>
      <c r="H98" s="6" t="s">
        <v>62</v>
      </c>
    </row>
    <row r="99" spans="2:8" ht="13.9" customHeight="1">
      <c r="B99" s="13" t="s">
        <v>6</v>
      </c>
      <c r="C99" s="145" t="s">
        <v>213</v>
      </c>
      <c r="D99" s="146"/>
      <c r="E99" s="146"/>
      <c r="F99" s="146"/>
      <c r="G99" s="147"/>
      <c r="H99" s="40">
        <f>(H32+H75+H83)/220*1*CCT!D17*'Informações Gerais'!H49</f>
        <v>0</v>
      </c>
    </row>
    <row r="100" spans="2:8" ht="18.399999999999999" customHeight="1">
      <c r="B100" s="149" t="s">
        <v>9</v>
      </c>
      <c r="C100" s="153"/>
      <c r="D100" s="153"/>
      <c r="E100" s="153"/>
      <c r="F100" s="153"/>
      <c r="G100" s="154"/>
      <c r="H100" s="41">
        <f>H99</f>
        <v>0</v>
      </c>
    </row>
    <row r="101" spans="2:8" ht="18.399999999999999" customHeight="1">
      <c r="B101" s="150"/>
      <c r="C101" s="150"/>
      <c r="D101" s="150"/>
      <c r="E101" s="150"/>
      <c r="F101" s="150"/>
      <c r="G101" s="150"/>
      <c r="H101" s="150"/>
    </row>
    <row r="102" spans="2:8" ht="18.399999999999999" customHeight="1">
      <c r="B102" s="142" t="s">
        <v>77</v>
      </c>
      <c r="C102" s="142"/>
      <c r="D102" s="142"/>
      <c r="E102" s="142"/>
      <c r="F102" s="142"/>
      <c r="G102" s="142"/>
      <c r="H102" s="142"/>
    </row>
    <row r="103" spans="2:8" ht="18.399999999999999" customHeight="1">
      <c r="B103" s="6">
        <v>4</v>
      </c>
      <c r="C103" s="142" t="s">
        <v>78</v>
      </c>
      <c r="D103" s="142"/>
      <c r="E103" s="142"/>
      <c r="F103" s="142"/>
      <c r="G103" s="142"/>
      <c r="H103" s="6" t="s">
        <v>62</v>
      </c>
    </row>
    <row r="104" spans="2:8" ht="14.25">
      <c r="B104" s="13" t="s">
        <v>79</v>
      </c>
      <c r="C104" s="145" t="s">
        <v>208</v>
      </c>
      <c r="D104" s="146"/>
      <c r="E104" s="146"/>
      <c r="F104" s="146"/>
      <c r="G104" s="147"/>
      <c r="H104" s="40">
        <f>H96</f>
        <v>54.713825249999999</v>
      </c>
    </row>
    <row r="105" spans="2:8" ht="14.25">
      <c r="B105" s="13" t="s">
        <v>80</v>
      </c>
      <c r="C105" s="145" t="s">
        <v>209</v>
      </c>
      <c r="D105" s="146"/>
      <c r="E105" s="146"/>
      <c r="F105" s="146"/>
      <c r="G105" s="147"/>
      <c r="H105" s="40">
        <f>H100</f>
        <v>0</v>
      </c>
    </row>
    <row r="106" spans="2:8" ht="18.399999999999999" customHeight="1">
      <c r="B106" s="149" t="s">
        <v>9</v>
      </c>
      <c r="C106" s="149"/>
      <c r="D106" s="149"/>
      <c r="E106" s="149"/>
      <c r="F106" s="149"/>
      <c r="G106" s="16"/>
      <c r="H106" s="41">
        <f>SUM(H104:H105)</f>
        <v>54.713825249999999</v>
      </c>
    </row>
    <row r="107" spans="2:8" ht="18.399999999999999" customHeight="1">
      <c r="B107" s="150"/>
      <c r="C107" s="150"/>
      <c r="D107" s="150"/>
      <c r="E107" s="150"/>
      <c r="F107" s="150"/>
      <c r="G107" s="150"/>
      <c r="H107" s="150"/>
    </row>
    <row r="108" spans="2:8" ht="18.399999999999999" customHeight="1">
      <c r="B108" s="142" t="s">
        <v>81</v>
      </c>
      <c r="C108" s="142"/>
      <c r="D108" s="142" t="s">
        <v>82</v>
      </c>
      <c r="E108" s="142"/>
      <c r="F108" s="142"/>
      <c r="G108" s="142"/>
      <c r="H108" s="6" t="s">
        <v>62</v>
      </c>
    </row>
    <row r="109" spans="2:8" ht="14.25">
      <c r="B109" s="13" t="s">
        <v>6</v>
      </c>
      <c r="C109" s="145" t="s">
        <v>207</v>
      </c>
      <c r="D109" s="146"/>
      <c r="E109" s="146"/>
      <c r="F109" s="146"/>
      <c r="G109" s="147"/>
      <c r="H109" s="60">
        <f>'Uniformes e EPIs'!F14</f>
        <v>218.99</v>
      </c>
    </row>
    <row r="110" spans="2:8" ht="14.25">
      <c r="B110" s="13" t="s">
        <v>8</v>
      </c>
      <c r="C110" s="145" t="s">
        <v>206</v>
      </c>
      <c r="D110" s="146"/>
      <c r="E110" s="146"/>
      <c r="F110" s="146"/>
      <c r="G110" s="147"/>
      <c r="H110" s="60">
        <f>'Material de Consumo'!F25</f>
        <v>1035.768333333333</v>
      </c>
    </row>
    <row r="111" spans="2:8" ht="14.25">
      <c r="B111" s="13" t="s">
        <v>13</v>
      </c>
      <c r="C111" s="145" t="s">
        <v>205</v>
      </c>
      <c r="D111" s="146"/>
      <c r="E111" s="146"/>
      <c r="F111" s="146"/>
      <c r="G111" s="147"/>
      <c r="H111" s="60">
        <f>Equipamentos!G8</f>
        <v>10.90625</v>
      </c>
    </row>
    <row r="112" spans="2:8" ht="14.25">
      <c r="B112" s="13" t="s">
        <v>14</v>
      </c>
      <c r="C112" s="145" t="s">
        <v>131</v>
      </c>
      <c r="D112" s="146"/>
      <c r="E112" s="146"/>
      <c r="F112" s="146"/>
      <c r="G112" s="147"/>
      <c r="H112" s="60">
        <v>0</v>
      </c>
    </row>
    <row r="113" spans="1:10" ht="14.25">
      <c r="B113" s="106" t="s">
        <v>16</v>
      </c>
      <c r="C113" s="145" t="s">
        <v>132</v>
      </c>
      <c r="D113" s="146"/>
      <c r="E113" s="146"/>
      <c r="F113" s="146"/>
      <c r="G113" s="147"/>
      <c r="H113" s="60">
        <v>0</v>
      </c>
    </row>
    <row r="114" spans="1:10" ht="18.399999999999999" customHeight="1">
      <c r="B114" s="149" t="s">
        <v>9</v>
      </c>
      <c r="C114" s="149"/>
      <c r="D114" s="149"/>
      <c r="E114" s="149"/>
      <c r="F114" s="149"/>
      <c r="G114" s="14"/>
      <c r="H114" s="41">
        <f>SUM(H109:H113)</f>
        <v>1265.664583333333</v>
      </c>
    </row>
    <row r="115" spans="1:10" s="15" customFormat="1" ht="18.399999999999999" customHeight="1">
      <c r="A115" s="12"/>
      <c r="B115" s="150"/>
      <c r="C115" s="150"/>
      <c r="D115" s="150"/>
      <c r="E115" s="150"/>
      <c r="F115" s="150"/>
      <c r="G115" s="150"/>
      <c r="H115" s="150"/>
    </row>
    <row r="116" spans="1:10" ht="18.399999999999999" customHeight="1">
      <c r="B116" s="142" t="s">
        <v>83</v>
      </c>
      <c r="C116" s="142"/>
      <c r="D116" s="142" t="s">
        <v>84</v>
      </c>
      <c r="E116" s="142"/>
      <c r="F116" s="142"/>
      <c r="G116" s="6" t="s">
        <v>5</v>
      </c>
      <c r="H116" s="6" t="s">
        <v>62</v>
      </c>
    </row>
    <row r="117" spans="1:10" ht="14.25">
      <c r="B117" s="13" t="s">
        <v>6</v>
      </c>
      <c r="C117" s="148" t="s">
        <v>85</v>
      </c>
      <c r="D117" s="148"/>
      <c r="E117" s="148"/>
      <c r="F117" s="148"/>
      <c r="G117" s="9">
        <f>BDI!K8</f>
        <v>0.05</v>
      </c>
      <c r="H117" s="40">
        <f>H132*G117</f>
        <v>304.34290703888882</v>
      </c>
    </row>
    <row r="118" spans="1:10" ht="14.25">
      <c r="B118" s="13" t="s">
        <v>8</v>
      </c>
      <c r="C118" s="148" t="s">
        <v>86</v>
      </c>
      <c r="D118" s="148"/>
      <c r="E118" s="148"/>
      <c r="F118" s="148"/>
      <c r="G118" s="9">
        <f>BDI!K9</f>
        <v>0.1</v>
      </c>
      <c r="H118" s="40">
        <f>(H117+H132)*G118</f>
        <v>639.12010478166656</v>
      </c>
    </row>
    <row r="119" spans="1:10" ht="14.25">
      <c r="B119" s="13" t="s">
        <v>13</v>
      </c>
      <c r="C119" s="152" t="s">
        <v>87</v>
      </c>
      <c r="D119" s="152"/>
      <c r="E119" s="152"/>
      <c r="F119" s="152"/>
      <c r="G119" s="29">
        <f>BDI!K10</f>
        <v>0.14250000000000002</v>
      </c>
      <c r="H119" s="94">
        <f>H120+H121+H122+H123</f>
        <v>1168.3040982452039</v>
      </c>
    </row>
    <row r="120" spans="1:10" ht="14.25">
      <c r="B120" s="7"/>
      <c r="C120" s="143" t="s">
        <v>88</v>
      </c>
      <c r="D120" s="143"/>
      <c r="E120" s="143"/>
      <c r="F120" s="143"/>
      <c r="G120" s="9">
        <f>BDI!K11</f>
        <v>1.6500000000000001E-2</v>
      </c>
      <c r="H120" s="40">
        <f>($H$132+$H$117+$H$118)/(1-$G$119)*G120</f>
        <v>135.27731663891834</v>
      </c>
      <c r="J120" s="24"/>
    </row>
    <row r="121" spans="1:10" ht="14.25">
      <c r="B121" s="7"/>
      <c r="C121" s="143" t="s">
        <v>89</v>
      </c>
      <c r="D121" s="143"/>
      <c r="E121" s="143"/>
      <c r="F121" s="143"/>
      <c r="G121" s="9">
        <f>BDI!K12</f>
        <v>7.5999999999999998E-2</v>
      </c>
      <c r="H121" s="40">
        <f t="shared" ref="H121:H123" si="3">($H$132+$H$117+$H$118)/(1-$G$119)*G121</f>
        <v>623.09551906410866</v>
      </c>
    </row>
    <row r="122" spans="1:10" ht="14.25">
      <c r="B122" s="7"/>
      <c r="C122" s="143" t="s">
        <v>116</v>
      </c>
      <c r="D122" s="143"/>
      <c r="E122" s="143"/>
      <c r="F122" s="143"/>
      <c r="G122" s="9">
        <f>BDI!K13</f>
        <v>0</v>
      </c>
      <c r="H122" s="40">
        <f t="shared" si="3"/>
        <v>0</v>
      </c>
    </row>
    <row r="123" spans="1:10" ht="14.25">
      <c r="B123" s="7"/>
      <c r="C123" s="143" t="s">
        <v>90</v>
      </c>
      <c r="D123" s="143"/>
      <c r="E123" s="143"/>
      <c r="F123" s="143"/>
      <c r="G123" s="9">
        <f>BDI!K14</f>
        <v>0.05</v>
      </c>
      <c r="H123" s="40">
        <f t="shared" si="3"/>
        <v>409.9312625421768</v>
      </c>
      <c r="J123" s="3"/>
    </row>
    <row r="124" spans="1:10" ht="18.399999999999999" customHeight="1">
      <c r="B124" s="142" t="s">
        <v>9</v>
      </c>
      <c r="C124" s="142"/>
      <c r="D124" s="142"/>
      <c r="E124" s="142"/>
      <c r="F124" s="142"/>
      <c r="G124" s="10">
        <f>BDI!K15</f>
        <v>0.34693877551020447</v>
      </c>
      <c r="H124" s="41">
        <f>H117+H118+H119</f>
        <v>2111.7671100657594</v>
      </c>
    </row>
    <row r="125" spans="1:10" s="15" customFormat="1" ht="18.399999999999999" customHeight="1">
      <c r="A125" s="12"/>
      <c r="B125" s="144"/>
      <c r="C125" s="144"/>
      <c r="D125" s="144"/>
      <c r="E125" s="144"/>
      <c r="F125" s="144"/>
      <c r="G125" s="144"/>
      <c r="H125" s="144"/>
    </row>
    <row r="126" spans="1:10" ht="18.399999999999999" customHeight="1">
      <c r="B126" s="142" t="s">
        <v>91</v>
      </c>
      <c r="C126" s="142"/>
      <c r="D126" s="142"/>
      <c r="E126" s="142"/>
      <c r="F126" s="142"/>
      <c r="G126" s="142"/>
      <c r="H126" s="6" t="s">
        <v>62</v>
      </c>
    </row>
    <row r="127" spans="1:10" ht="13.9" customHeight="1">
      <c r="B127" s="13" t="s">
        <v>6</v>
      </c>
      <c r="C127" s="8" t="s">
        <v>92</v>
      </c>
      <c r="D127" s="145" t="s">
        <v>224</v>
      </c>
      <c r="E127" s="146"/>
      <c r="F127" s="146"/>
      <c r="G127" s="147"/>
      <c r="H127" s="40">
        <f>H32</f>
        <v>2047.29</v>
      </c>
    </row>
    <row r="128" spans="1:10" ht="14.25">
      <c r="B128" s="13" t="s">
        <v>8</v>
      </c>
      <c r="C128" s="8" t="s">
        <v>93</v>
      </c>
      <c r="D128" s="145" t="s">
        <v>225</v>
      </c>
      <c r="E128" s="146"/>
      <c r="F128" s="146"/>
      <c r="G128" s="147"/>
      <c r="H128" s="40">
        <f>H75</f>
        <v>2571.9118599999997</v>
      </c>
    </row>
    <row r="129" spans="2:8" ht="13.9" customHeight="1">
      <c r="B129" s="13" t="s">
        <v>13</v>
      </c>
      <c r="C129" s="8" t="s">
        <v>94</v>
      </c>
      <c r="D129" s="145" t="s">
        <v>226</v>
      </c>
      <c r="E129" s="146"/>
      <c r="F129" s="146"/>
      <c r="G129" s="147"/>
      <c r="H129" s="40">
        <f>H83</f>
        <v>147.27787219444446</v>
      </c>
    </row>
    <row r="130" spans="2:8" ht="13.9" customHeight="1">
      <c r="B130" s="13" t="s">
        <v>14</v>
      </c>
      <c r="C130" s="8" t="s">
        <v>95</v>
      </c>
      <c r="D130" s="145" t="s">
        <v>227</v>
      </c>
      <c r="E130" s="146"/>
      <c r="F130" s="146"/>
      <c r="G130" s="147"/>
      <c r="H130" s="40">
        <f>H106</f>
        <v>54.713825249999999</v>
      </c>
    </row>
    <row r="131" spans="2:8" ht="14.25">
      <c r="B131" s="13" t="s">
        <v>16</v>
      </c>
      <c r="C131" s="8" t="s">
        <v>96</v>
      </c>
      <c r="D131" s="145" t="s">
        <v>228</v>
      </c>
      <c r="E131" s="146"/>
      <c r="F131" s="146"/>
      <c r="G131" s="147"/>
      <c r="H131" s="40">
        <f>H114</f>
        <v>1265.664583333333</v>
      </c>
    </row>
    <row r="132" spans="2:8" ht="14.25">
      <c r="B132" s="142" t="s">
        <v>97</v>
      </c>
      <c r="C132" s="142"/>
      <c r="D132" s="142"/>
      <c r="E132" s="142"/>
      <c r="F132" s="142"/>
      <c r="G132" s="142"/>
      <c r="H132" s="41">
        <f>SUM(H127:H131)</f>
        <v>6086.8581407777765</v>
      </c>
    </row>
    <row r="133" spans="2:8" ht="13.9" customHeight="1">
      <c r="B133" s="13" t="s">
        <v>18</v>
      </c>
      <c r="C133" s="97" t="s">
        <v>204</v>
      </c>
      <c r="D133" s="145" t="s">
        <v>229</v>
      </c>
      <c r="E133" s="146"/>
      <c r="F133" s="146"/>
      <c r="G133" s="147"/>
      <c r="H133" s="40">
        <f>H124</f>
        <v>2111.7671100657594</v>
      </c>
    </row>
    <row r="134" spans="2:8" ht="14.25">
      <c r="B134" s="142" t="s">
        <v>99</v>
      </c>
      <c r="C134" s="142"/>
      <c r="D134" s="142"/>
      <c r="E134" s="142"/>
      <c r="F134" s="142"/>
      <c r="G134" s="142"/>
      <c r="H134" s="41">
        <f>H132+H133</f>
        <v>8198.6252508435355</v>
      </c>
    </row>
    <row r="135" spans="2:8" ht="18.399999999999999" customHeight="1">
      <c r="B135" s="151"/>
      <c r="C135" s="151"/>
      <c r="D135" s="151"/>
      <c r="E135" s="151"/>
      <c r="F135" s="151"/>
      <c r="G135" s="151"/>
      <c r="H135" s="151"/>
    </row>
  </sheetData>
  <mergeCells count="160">
    <mergeCell ref="B1:H2"/>
    <mergeCell ref="B5:H5"/>
    <mergeCell ref="B6:H6"/>
    <mergeCell ref="C10:F10"/>
    <mergeCell ref="G10:H10"/>
    <mergeCell ref="B11:H11"/>
    <mergeCell ref="B12:H12"/>
    <mergeCell ref="G4:H4"/>
    <mergeCell ref="B3:H3"/>
    <mergeCell ref="B4:E4"/>
    <mergeCell ref="B13:D13"/>
    <mergeCell ref="E13:F13"/>
    <mergeCell ref="G13:H13"/>
    <mergeCell ref="C7:F7"/>
    <mergeCell ref="G7:H7"/>
    <mergeCell ref="C8:F8"/>
    <mergeCell ref="G8:H8"/>
    <mergeCell ref="C9:F9"/>
    <mergeCell ref="G9:H9"/>
    <mergeCell ref="C18:F18"/>
    <mergeCell ref="G18:H18"/>
    <mergeCell ref="C19:F19"/>
    <mergeCell ref="G19:H19"/>
    <mergeCell ref="C20:F20"/>
    <mergeCell ref="G20:H20"/>
    <mergeCell ref="B14:D14"/>
    <mergeCell ref="E14:F14"/>
    <mergeCell ref="G14:H14"/>
    <mergeCell ref="B15:H15"/>
    <mergeCell ref="B16:H16"/>
    <mergeCell ref="B17:H17"/>
    <mergeCell ref="C25:F25"/>
    <mergeCell ref="C26:F26"/>
    <mergeCell ref="C27:F27"/>
    <mergeCell ref="C28:F28"/>
    <mergeCell ref="C29:F29"/>
    <mergeCell ref="C31:F31"/>
    <mergeCell ref="C21:F21"/>
    <mergeCell ref="G21:H21"/>
    <mergeCell ref="C22:F22"/>
    <mergeCell ref="G22:H22"/>
    <mergeCell ref="B23:H23"/>
    <mergeCell ref="B24:C24"/>
    <mergeCell ref="D24:G24"/>
    <mergeCell ref="C30:F30"/>
    <mergeCell ref="C37:F37"/>
    <mergeCell ref="C38:F38"/>
    <mergeCell ref="B39:F39"/>
    <mergeCell ref="B40:H40"/>
    <mergeCell ref="B41:C41"/>
    <mergeCell ref="D41:F41"/>
    <mergeCell ref="B32:F32"/>
    <mergeCell ref="B33:H33"/>
    <mergeCell ref="B34:C34"/>
    <mergeCell ref="D34:H34"/>
    <mergeCell ref="B35:H35"/>
    <mergeCell ref="B36:C36"/>
    <mergeCell ref="D36:F36"/>
    <mergeCell ref="C49:F49"/>
    <mergeCell ref="C50:F50"/>
    <mergeCell ref="B51:F51"/>
    <mergeCell ref="B52:H52"/>
    <mergeCell ref="B53:C53"/>
    <mergeCell ref="C42:F42"/>
    <mergeCell ref="C44:F44"/>
    <mergeCell ref="C45:F45"/>
    <mergeCell ref="C46:F46"/>
    <mergeCell ref="C47:F47"/>
    <mergeCell ref="C48:F48"/>
    <mergeCell ref="D53:G53"/>
    <mergeCell ref="C43:F43"/>
    <mergeCell ref="C70:G70"/>
    <mergeCell ref="C71:F71"/>
    <mergeCell ref="C72:F72"/>
    <mergeCell ref="C73:F73"/>
    <mergeCell ref="B75:F75"/>
    <mergeCell ref="B76:H76"/>
    <mergeCell ref="B68:H68"/>
    <mergeCell ref="B69:H69"/>
    <mergeCell ref="C54:G54"/>
    <mergeCell ref="C55:G55"/>
    <mergeCell ref="C56:G56"/>
    <mergeCell ref="C57:G57"/>
    <mergeCell ref="C58:G58"/>
    <mergeCell ref="C62:G62"/>
    <mergeCell ref="B63:G63"/>
    <mergeCell ref="C59:G59"/>
    <mergeCell ref="C60:G60"/>
    <mergeCell ref="C61:G61"/>
    <mergeCell ref="B64:H64"/>
    <mergeCell ref="B65:C65"/>
    <mergeCell ref="D65:G65"/>
    <mergeCell ref="B67:F67"/>
    <mergeCell ref="C66:G66"/>
    <mergeCell ref="C74:F74"/>
    <mergeCell ref="C81:F81"/>
    <mergeCell ref="C82:F82"/>
    <mergeCell ref="B83:F83"/>
    <mergeCell ref="B84:H84"/>
    <mergeCell ref="B85:C85"/>
    <mergeCell ref="D85:H85"/>
    <mergeCell ref="B77:C77"/>
    <mergeCell ref="D77:F77"/>
    <mergeCell ref="C78:F78"/>
    <mergeCell ref="C79:F79"/>
    <mergeCell ref="C80:F80"/>
    <mergeCell ref="B97:H97"/>
    <mergeCell ref="B98:C98"/>
    <mergeCell ref="D98:G98"/>
    <mergeCell ref="C99:G99"/>
    <mergeCell ref="B100:G100"/>
    <mergeCell ref="C104:G104"/>
    <mergeCell ref="C105:G105"/>
    <mergeCell ref="B87:C87"/>
    <mergeCell ref="D87:F87"/>
    <mergeCell ref="C88:F88"/>
    <mergeCell ref="C89:F89"/>
    <mergeCell ref="C90:F90"/>
    <mergeCell ref="C91:F91"/>
    <mergeCell ref="C93:F93"/>
    <mergeCell ref="C94:F94"/>
    <mergeCell ref="C95:F95"/>
    <mergeCell ref="B135:H135"/>
    <mergeCell ref="C109:G109"/>
    <mergeCell ref="C110:G110"/>
    <mergeCell ref="C111:G111"/>
    <mergeCell ref="C119:F119"/>
    <mergeCell ref="C120:F120"/>
    <mergeCell ref="C121:F121"/>
    <mergeCell ref="C122:F122"/>
    <mergeCell ref="B114:F114"/>
    <mergeCell ref="B115:H115"/>
    <mergeCell ref="B116:C116"/>
    <mergeCell ref="D116:F116"/>
    <mergeCell ref="C113:G113"/>
    <mergeCell ref="C112:G112"/>
    <mergeCell ref="B86:H86"/>
    <mergeCell ref="B132:G132"/>
    <mergeCell ref="B134:G134"/>
    <mergeCell ref="C123:F123"/>
    <mergeCell ref="B124:F124"/>
    <mergeCell ref="B125:H125"/>
    <mergeCell ref="B126:G126"/>
    <mergeCell ref="D128:G128"/>
    <mergeCell ref="C117:F117"/>
    <mergeCell ref="C118:F118"/>
    <mergeCell ref="D127:G127"/>
    <mergeCell ref="D129:G129"/>
    <mergeCell ref="D130:G130"/>
    <mergeCell ref="D131:G131"/>
    <mergeCell ref="D133:G133"/>
    <mergeCell ref="B106:F106"/>
    <mergeCell ref="B107:H107"/>
    <mergeCell ref="B108:C108"/>
    <mergeCell ref="D108:G108"/>
    <mergeCell ref="B101:H101"/>
    <mergeCell ref="B102:H102"/>
    <mergeCell ref="C103:G103"/>
    <mergeCell ref="C92:F92"/>
    <mergeCell ref="B96:F96"/>
  </mergeCells>
  <printOptions horizontalCentered="1"/>
  <pageMargins left="1.1023622047244099" right="0.70866141732283516" top="1.5640625000000001" bottom="0.95447916666666721" header="0.31496062992126012" footer="0.31496062992126012"/>
  <pageSetup paperSize="9" scale="60" fitToWidth="0" fitToHeight="0" orientation="portrait" useFirstPageNumber="1" r:id="rId1"/>
  <rowBreaks count="1" manualBreakCount="1">
    <brk id="75" max="7" man="1"/>
  </rowBreaks>
  <colBreaks count="1" manualBreakCount="1">
    <brk id="8" man="1"/>
  </col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0F212-7FB0-4C40-802C-8B6CD5BB3396}">
  <dimension ref="A1:R134"/>
  <sheetViews>
    <sheetView view="pageBreakPreview" topLeftCell="A109" zoomScale="130" zoomScaleNormal="100" zoomScaleSheetLayoutView="130" workbookViewId="0">
      <selection activeCell="H112" sqref="H112"/>
    </sheetView>
  </sheetViews>
  <sheetFormatPr defaultColWidth="9.140625" defaultRowHeight="18.399999999999999" customHeight="1"/>
  <cols>
    <col min="1" max="1" width="1.7109375" style="12" customWidth="1"/>
    <col min="2" max="2" width="7" style="15" customWidth="1"/>
    <col min="3" max="3" width="38.85546875" style="15" customWidth="1"/>
    <col min="4" max="4" width="19.85546875" style="15" hidden="1" customWidth="1"/>
    <col min="5" max="5" width="23.140625" style="15" customWidth="1"/>
    <col min="6" max="6" width="34.85546875" style="15" customWidth="1"/>
    <col min="7" max="7" width="13.85546875" style="15" customWidth="1"/>
    <col min="8" max="8" width="18.42578125" style="15" customWidth="1"/>
    <col min="9" max="9" width="9" style="2" customWidth="1"/>
    <col min="10" max="10" width="44.7109375" style="2" customWidth="1"/>
    <col min="11" max="11" width="9" style="2" customWidth="1"/>
    <col min="12" max="12" width="13.5703125" style="2" customWidth="1"/>
    <col min="13" max="1025" width="9" style="2" customWidth="1"/>
    <col min="1026" max="1026" width="9.140625" style="2" customWidth="1"/>
    <col min="1027" max="16384" width="9.140625" style="2"/>
  </cols>
  <sheetData>
    <row r="1" spans="2:8" ht="12.75" customHeight="1">
      <c r="B1" s="183" t="s">
        <v>34</v>
      </c>
      <c r="C1" s="183"/>
      <c r="D1" s="183"/>
      <c r="E1" s="183"/>
      <c r="F1" s="183"/>
      <c r="G1" s="183"/>
      <c r="H1" s="183"/>
    </row>
    <row r="2" spans="2:8" ht="12.75" customHeight="1">
      <c r="B2" s="183"/>
      <c r="C2" s="183"/>
      <c r="D2" s="183"/>
      <c r="E2" s="183"/>
      <c r="F2" s="183"/>
      <c r="G2" s="183"/>
      <c r="H2" s="183"/>
    </row>
    <row r="3" spans="2:8" ht="18.399999999999999" customHeight="1">
      <c r="B3" s="184" t="s">
        <v>127</v>
      </c>
      <c r="C3" s="185"/>
      <c r="D3" s="185"/>
      <c r="E3" s="185"/>
      <c r="F3" s="185"/>
      <c r="G3" s="185"/>
      <c r="H3" s="164"/>
    </row>
    <row r="4" spans="2:8" ht="18.399999999999999" customHeight="1">
      <c r="B4" s="184" t="s">
        <v>128</v>
      </c>
      <c r="C4" s="185"/>
      <c r="D4" s="185"/>
      <c r="E4" s="164"/>
      <c r="F4" s="169" t="s">
        <v>142</v>
      </c>
      <c r="G4" s="169"/>
      <c r="H4" s="103">
        <f>'Informações Gerais'!H5</f>
        <v>1518</v>
      </c>
    </row>
    <row r="5" spans="2:8" ht="18.399999999999999" customHeight="1">
      <c r="B5" s="144"/>
      <c r="C5" s="144"/>
      <c r="D5" s="144"/>
      <c r="E5" s="144"/>
      <c r="F5" s="144"/>
      <c r="G5" s="144"/>
      <c r="H5" s="144"/>
    </row>
    <row r="6" spans="2:8" ht="18.399999999999999" customHeight="1">
      <c r="B6" s="142" t="s">
        <v>35</v>
      </c>
      <c r="C6" s="142"/>
      <c r="D6" s="142"/>
      <c r="E6" s="142"/>
      <c r="F6" s="142"/>
      <c r="G6" s="142"/>
      <c r="H6" s="142"/>
    </row>
    <row r="7" spans="2:8" ht="14.25">
      <c r="B7" s="13" t="s">
        <v>6</v>
      </c>
      <c r="C7" s="148" t="s">
        <v>36</v>
      </c>
      <c r="D7" s="148"/>
      <c r="E7" s="148"/>
      <c r="F7" s="148"/>
      <c r="G7" s="173"/>
      <c r="H7" s="173"/>
    </row>
    <row r="8" spans="2:8" ht="14.25">
      <c r="B8" s="13" t="s">
        <v>8</v>
      </c>
      <c r="C8" s="148" t="s">
        <v>37</v>
      </c>
      <c r="D8" s="148"/>
      <c r="E8" s="148"/>
      <c r="F8" s="148"/>
      <c r="G8" s="163"/>
      <c r="H8" s="163"/>
    </row>
    <row r="9" spans="2:8" ht="14.25">
      <c r="B9" s="13" t="s">
        <v>13</v>
      </c>
      <c r="C9" s="148" t="s">
        <v>38</v>
      </c>
      <c r="D9" s="148"/>
      <c r="E9" s="148"/>
      <c r="F9" s="148"/>
      <c r="G9" s="163"/>
      <c r="H9" s="163"/>
    </row>
    <row r="10" spans="2:8" ht="14.25">
      <c r="B10" s="13" t="s">
        <v>14</v>
      </c>
      <c r="C10" s="148" t="s">
        <v>39</v>
      </c>
      <c r="D10" s="148"/>
      <c r="E10" s="148"/>
      <c r="F10" s="148"/>
      <c r="G10" s="163"/>
      <c r="H10" s="163"/>
    </row>
    <row r="11" spans="2:8" ht="18.399999999999999" customHeight="1">
      <c r="B11" s="150"/>
      <c r="C11" s="150"/>
      <c r="D11" s="150"/>
      <c r="E11" s="150"/>
      <c r="F11" s="150"/>
      <c r="G11" s="150"/>
      <c r="H11" s="150"/>
    </row>
    <row r="12" spans="2:8" ht="18.399999999999999" customHeight="1">
      <c r="B12" s="142" t="s">
        <v>40</v>
      </c>
      <c r="C12" s="142"/>
      <c r="D12" s="142"/>
      <c r="E12" s="142"/>
      <c r="F12" s="142"/>
      <c r="G12" s="142"/>
      <c r="H12" s="142"/>
    </row>
    <row r="13" spans="2:8" ht="14.25">
      <c r="B13" s="169" t="s">
        <v>41</v>
      </c>
      <c r="C13" s="169"/>
      <c r="D13" s="169"/>
      <c r="E13" s="170" t="s">
        <v>42</v>
      </c>
      <c r="F13" s="170"/>
      <c r="G13" s="169" t="s">
        <v>43</v>
      </c>
      <c r="H13" s="169"/>
    </row>
    <row r="14" spans="2:8" ht="14.25">
      <c r="B14" s="169" t="str">
        <f>Resumo!B4</f>
        <v>CARREGADOR</v>
      </c>
      <c r="C14" s="169"/>
      <c r="D14" s="169"/>
      <c r="E14" s="170" t="s">
        <v>129</v>
      </c>
      <c r="F14" s="170"/>
      <c r="G14" s="171">
        <v>1</v>
      </c>
      <c r="H14" s="169"/>
    </row>
    <row r="15" spans="2:8" ht="18.399999999999999" customHeight="1">
      <c r="B15" s="150"/>
      <c r="C15" s="150"/>
      <c r="D15" s="150"/>
      <c r="E15" s="150"/>
      <c r="F15" s="150"/>
      <c r="G15" s="150"/>
      <c r="H15" s="150"/>
    </row>
    <row r="16" spans="2:8" ht="18.399999999999999" customHeight="1">
      <c r="B16" s="142" t="s">
        <v>44</v>
      </c>
      <c r="C16" s="142"/>
      <c r="D16" s="142"/>
      <c r="E16" s="142"/>
      <c r="F16" s="142"/>
      <c r="G16" s="142"/>
      <c r="H16" s="142"/>
    </row>
    <row r="17" spans="2:8" ht="18.399999999999999" customHeight="1">
      <c r="B17" s="172" t="s">
        <v>45</v>
      </c>
      <c r="C17" s="172"/>
      <c r="D17" s="172"/>
      <c r="E17" s="172"/>
      <c r="F17" s="172"/>
      <c r="G17" s="172"/>
      <c r="H17" s="172"/>
    </row>
    <row r="18" spans="2:8" ht="14.25">
      <c r="B18" s="13">
        <v>1</v>
      </c>
      <c r="C18" s="158" t="s">
        <v>46</v>
      </c>
      <c r="D18" s="158"/>
      <c r="E18" s="158"/>
      <c r="F18" s="158"/>
      <c r="G18" s="163"/>
      <c r="H18" s="164"/>
    </row>
    <row r="19" spans="2:8" ht="14.25">
      <c r="B19" s="13">
        <v>2</v>
      </c>
      <c r="C19" s="158" t="s">
        <v>47</v>
      </c>
      <c r="D19" s="158"/>
      <c r="E19" s="158"/>
      <c r="F19" s="158"/>
      <c r="G19" s="163"/>
      <c r="H19" s="164"/>
    </row>
    <row r="20" spans="2:8" ht="14.25">
      <c r="B20" s="13">
        <v>3</v>
      </c>
      <c r="C20" s="158" t="s">
        <v>48</v>
      </c>
      <c r="D20" s="158"/>
      <c r="E20" s="158"/>
      <c r="F20" s="158"/>
      <c r="G20" s="167">
        <f>CCT!E6</f>
        <v>1743.69</v>
      </c>
      <c r="H20" s="168"/>
    </row>
    <row r="21" spans="2:8" ht="14.25">
      <c r="B21" s="13">
        <v>4</v>
      </c>
      <c r="C21" s="158" t="s">
        <v>49</v>
      </c>
      <c r="D21" s="158"/>
      <c r="E21" s="158"/>
      <c r="F21" s="158"/>
      <c r="G21" s="163"/>
      <c r="H21" s="164"/>
    </row>
    <row r="22" spans="2:8" ht="14.25">
      <c r="B22" s="13">
        <v>5</v>
      </c>
      <c r="C22" s="158" t="s">
        <v>50</v>
      </c>
      <c r="D22" s="158"/>
      <c r="E22" s="158"/>
      <c r="F22" s="158"/>
      <c r="G22" s="165"/>
      <c r="H22" s="166"/>
    </row>
    <row r="23" spans="2:8" ht="18.399999999999999" customHeight="1">
      <c r="B23" s="150"/>
      <c r="C23" s="150"/>
      <c r="D23" s="150"/>
      <c r="E23" s="150"/>
      <c r="F23" s="150"/>
      <c r="G23" s="150"/>
      <c r="H23" s="150"/>
    </row>
    <row r="24" spans="2:8" ht="18.399999999999999" customHeight="1">
      <c r="B24" s="149" t="s">
        <v>51</v>
      </c>
      <c r="C24" s="154"/>
      <c r="D24" s="149" t="s">
        <v>52</v>
      </c>
      <c r="E24" s="153"/>
      <c r="F24" s="153"/>
      <c r="G24" s="154"/>
      <c r="H24" s="6" t="s">
        <v>53</v>
      </c>
    </row>
    <row r="25" spans="2:8" ht="14.25">
      <c r="B25" s="13" t="s">
        <v>6</v>
      </c>
      <c r="C25" s="158" t="s">
        <v>54</v>
      </c>
      <c r="D25" s="158"/>
      <c r="E25" s="158"/>
      <c r="F25" s="158"/>
      <c r="G25" s="39"/>
      <c r="H25" s="40">
        <f>G20</f>
        <v>1743.69</v>
      </c>
    </row>
    <row r="26" spans="2:8" ht="14.25">
      <c r="B26" s="13" t="s">
        <v>8</v>
      </c>
      <c r="C26" s="158" t="s">
        <v>55</v>
      </c>
      <c r="D26" s="158"/>
      <c r="E26" s="158"/>
      <c r="F26" s="158"/>
      <c r="G26" s="9">
        <f>'Informações Específicas'!E6</f>
        <v>0</v>
      </c>
      <c r="H26" s="40">
        <f>H25*G26</f>
        <v>0</v>
      </c>
    </row>
    <row r="27" spans="2:8" ht="14.25">
      <c r="B27" s="13" t="s">
        <v>13</v>
      </c>
      <c r="C27" s="158" t="s">
        <v>56</v>
      </c>
      <c r="D27" s="158"/>
      <c r="E27" s="158"/>
      <c r="F27" s="158"/>
      <c r="G27" s="9">
        <f>'Informações Específicas'!E7</f>
        <v>0</v>
      </c>
      <c r="H27" s="40">
        <f>H4*G27</f>
        <v>0</v>
      </c>
    </row>
    <row r="28" spans="2:8" ht="14.25">
      <c r="B28" s="13" t="s">
        <v>14</v>
      </c>
      <c r="C28" s="158" t="s">
        <v>57</v>
      </c>
      <c r="D28" s="158"/>
      <c r="E28" s="158"/>
      <c r="F28" s="158"/>
      <c r="G28" s="9">
        <f>'Informações Específicas'!E8</f>
        <v>0</v>
      </c>
      <c r="H28" s="40">
        <f>(H25+H26+H27)/220*G28*7*CCT!E17</f>
        <v>0</v>
      </c>
    </row>
    <row r="29" spans="2:8" ht="14.25">
      <c r="B29" s="13" t="s">
        <v>16</v>
      </c>
      <c r="C29" s="158" t="s">
        <v>58</v>
      </c>
      <c r="D29" s="158"/>
      <c r="E29" s="158"/>
      <c r="F29" s="158"/>
      <c r="G29" s="9">
        <v>0</v>
      </c>
      <c r="H29" s="40">
        <f>(H25+H26+H27)/220*G29*1*CCT!E17</f>
        <v>0</v>
      </c>
    </row>
    <row r="30" spans="2:8" ht="14.25">
      <c r="B30" s="13" t="s">
        <v>18</v>
      </c>
      <c r="C30" s="158" t="s">
        <v>184</v>
      </c>
      <c r="D30" s="158"/>
      <c r="E30" s="158"/>
      <c r="F30" s="158"/>
      <c r="G30" s="9">
        <f>'Informações Específicas'!E10</f>
        <v>0</v>
      </c>
      <c r="H30" s="40">
        <f>(H25+H26+H27+H28+H29)/220*(1+G30)*CCT!E17*CCT!E18</f>
        <v>0</v>
      </c>
    </row>
    <row r="31" spans="2:8" ht="14.25">
      <c r="B31" s="13" t="s">
        <v>20</v>
      </c>
      <c r="C31" s="158" t="s">
        <v>59</v>
      </c>
      <c r="D31" s="158"/>
      <c r="E31" s="158"/>
      <c r="F31" s="158"/>
      <c r="G31" s="9">
        <f>'Informações Específicas'!E11</f>
        <v>0</v>
      </c>
      <c r="H31" s="40">
        <v>0</v>
      </c>
    </row>
    <row r="32" spans="2:8" ht="18.399999999999999" customHeight="1">
      <c r="B32" s="149" t="s">
        <v>9</v>
      </c>
      <c r="C32" s="149"/>
      <c r="D32" s="149"/>
      <c r="E32" s="149"/>
      <c r="F32" s="149"/>
      <c r="G32" s="10">
        <f>SUM(G26:G31)</f>
        <v>0</v>
      </c>
      <c r="H32" s="41">
        <f>SUM(H25:H31)</f>
        <v>1743.69</v>
      </c>
    </row>
    <row r="33" spans="1:8" s="15" customFormat="1" ht="18.399999999999999" customHeight="1">
      <c r="A33" s="12"/>
      <c r="B33" s="150"/>
      <c r="C33" s="150"/>
      <c r="D33" s="150"/>
      <c r="E33" s="150"/>
      <c r="F33" s="150"/>
      <c r="G33" s="150"/>
      <c r="H33" s="150"/>
    </row>
    <row r="34" spans="1:8" ht="18.399999999999999" customHeight="1">
      <c r="B34" s="142" t="s">
        <v>60</v>
      </c>
      <c r="C34" s="142"/>
      <c r="D34" s="142" t="s">
        <v>61</v>
      </c>
      <c r="E34" s="142"/>
      <c r="F34" s="142"/>
      <c r="G34" s="142"/>
      <c r="H34" s="142"/>
    </row>
    <row r="35" spans="1:8" ht="18.399999999999999" customHeight="1">
      <c r="B35" s="150"/>
      <c r="C35" s="150"/>
      <c r="D35" s="150"/>
      <c r="E35" s="150"/>
      <c r="F35" s="150"/>
      <c r="G35" s="150"/>
      <c r="H35" s="150"/>
    </row>
    <row r="36" spans="1:8" ht="18.399999999999999" customHeight="1">
      <c r="B36" s="142" t="s">
        <v>3</v>
      </c>
      <c r="C36" s="142"/>
      <c r="D36" s="142" t="s">
        <v>4</v>
      </c>
      <c r="E36" s="142"/>
      <c r="F36" s="142"/>
      <c r="G36" s="6" t="s">
        <v>5</v>
      </c>
      <c r="H36" s="6" t="s">
        <v>62</v>
      </c>
    </row>
    <row r="37" spans="1:8" ht="14.25">
      <c r="B37" s="13" t="s">
        <v>6</v>
      </c>
      <c r="C37" s="148" t="s">
        <v>7</v>
      </c>
      <c r="D37" s="148"/>
      <c r="E37" s="148"/>
      <c r="F37" s="148"/>
      <c r="G37" s="9">
        <f>'Informações Gerais'!H9</f>
        <v>8.3333333333333329E-2</v>
      </c>
      <c r="H37" s="40">
        <f>H32*G37</f>
        <v>145.3075</v>
      </c>
    </row>
    <row r="38" spans="1:8" ht="14.25">
      <c r="B38" s="13" t="s">
        <v>8</v>
      </c>
      <c r="C38" s="148" t="s">
        <v>136</v>
      </c>
      <c r="D38" s="148"/>
      <c r="E38" s="148"/>
      <c r="F38" s="148"/>
      <c r="G38" s="9">
        <f>'Informações Gerais'!H10</f>
        <v>0.1111111111111111</v>
      </c>
      <c r="H38" s="40">
        <f>H32*G38</f>
        <v>193.74333333333334</v>
      </c>
    </row>
    <row r="39" spans="1:8" ht="18.399999999999999" customHeight="1">
      <c r="B39" s="142" t="s">
        <v>9</v>
      </c>
      <c r="C39" s="142"/>
      <c r="D39" s="142"/>
      <c r="E39" s="142"/>
      <c r="F39" s="142"/>
      <c r="G39" s="10">
        <f>SUM(G37:G38)</f>
        <v>0.19444444444444442</v>
      </c>
      <c r="H39" s="41">
        <f>SUM(H37:H38)</f>
        <v>339.05083333333334</v>
      </c>
    </row>
    <row r="40" spans="1:8" ht="18.399999999999999" customHeight="1">
      <c r="B40" s="150"/>
      <c r="C40" s="150"/>
      <c r="D40" s="150"/>
      <c r="E40" s="150"/>
      <c r="F40" s="150"/>
      <c r="G40" s="150"/>
      <c r="H40" s="150"/>
    </row>
    <row r="41" spans="1:8" ht="24" customHeight="1">
      <c r="B41" s="142" t="s">
        <v>10</v>
      </c>
      <c r="C41" s="142"/>
      <c r="D41" s="142" t="s">
        <v>11</v>
      </c>
      <c r="E41" s="142"/>
      <c r="F41" s="142"/>
      <c r="G41" s="6" t="s">
        <v>5</v>
      </c>
      <c r="H41" s="6" t="s">
        <v>62</v>
      </c>
    </row>
    <row r="42" spans="1:8" ht="14.25">
      <c r="B42" s="13" t="s">
        <v>6</v>
      </c>
      <c r="C42" s="148" t="s">
        <v>12</v>
      </c>
      <c r="D42" s="148"/>
      <c r="E42" s="148"/>
      <c r="F42" s="148"/>
      <c r="G42" s="9">
        <f>'Informações Gerais'!H14</f>
        <v>0.2</v>
      </c>
      <c r="H42" s="40">
        <f>(H32+H39)*G42</f>
        <v>416.5481666666667</v>
      </c>
    </row>
    <row r="43" spans="1:8" ht="14.25">
      <c r="B43" s="13" t="s">
        <v>138</v>
      </c>
      <c r="C43" s="145" t="s">
        <v>223</v>
      </c>
      <c r="D43" s="146"/>
      <c r="E43" s="146"/>
      <c r="F43" s="147"/>
      <c r="G43" s="9">
        <f>'Informações Gerais'!H15</f>
        <v>0</v>
      </c>
      <c r="H43" s="40">
        <f>(H32+H38)*G43</f>
        <v>0</v>
      </c>
    </row>
    <row r="44" spans="1:8" ht="14.25">
      <c r="B44" s="13" t="s">
        <v>8</v>
      </c>
      <c r="C44" s="148" t="s">
        <v>121</v>
      </c>
      <c r="D44" s="148"/>
      <c r="E44" s="148"/>
      <c r="F44" s="148"/>
      <c r="G44" s="9">
        <f>'Informações Gerais'!H16</f>
        <v>2.5000000000000001E-2</v>
      </c>
      <c r="H44" s="40">
        <f>($H$32+$H$39)*G44</f>
        <v>52.068520833333338</v>
      </c>
    </row>
    <row r="45" spans="1:8" ht="14.25">
      <c r="B45" s="13" t="s">
        <v>13</v>
      </c>
      <c r="C45" s="148" t="s">
        <v>122</v>
      </c>
      <c r="D45" s="148"/>
      <c r="E45" s="148"/>
      <c r="F45" s="148"/>
      <c r="G45" s="9">
        <f>'Informações Gerais'!H17</f>
        <v>0.03</v>
      </c>
      <c r="H45" s="40">
        <f t="shared" ref="H45:H50" si="0">($H$32+$H$39)*G45</f>
        <v>62.482225</v>
      </c>
    </row>
    <row r="46" spans="1:8" ht="14.25">
      <c r="B46" s="13" t="s">
        <v>14</v>
      </c>
      <c r="C46" s="148" t="s">
        <v>15</v>
      </c>
      <c r="D46" s="148"/>
      <c r="E46" s="148"/>
      <c r="F46" s="148"/>
      <c r="G46" s="9">
        <f>'Informações Gerais'!H18</f>
        <v>1.4999999999999999E-2</v>
      </c>
      <c r="H46" s="40">
        <f t="shared" si="0"/>
        <v>31.2411125</v>
      </c>
    </row>
    <row r="47" spans="1:8" ht="14.25">
      <c r="B47" s="13" t="s">
        <v>16</v>
      </c>
      <c r="C47" s="148" t="s">
        <v>17</v>
      </c>
      <c r="D47" s="148"/>
      <c r="E47" s="148"/>
      <c r="F47" s="148"/>
      <c r="G47" s="9">
        <f>'Informações Gerais'!H19</f>
        <v>0.01</v>
      </c>
      <c r="H47" s="40">
        <f t="shared" si="0"/>
        <v>20.827408333333334</v>
      </c>
    </row>
    <row r="48" spans="1:8" ht="14.25">
      <c r="B48" s="13" t="s">
        <v>18</v>
      </c>
      <c r="C48" s="148" t="s">
        <v>19</v>
      </c>
      <c r="D48" s="148"/>
      <c r="E48" s="148"/>
      <c r="F48" s="148"/>
      <c r="G48" s="9">
        <f>'Informações Gerais'!H20</f>
        <v>6.0000000000000001E-3</v>
      </c>
      <c r="H48" s="40">
        <f t="shared" si="0"/>
        <v>12.496445</v>
      </c>
    </row>
    <row r="49" spans="2:8" ht="14.25">
      <c r="B49" s="13" t="s">
        <v>20</v>
      </c>
      <c r="C49" s="148" t="s">
        <v>21</v>
      </c>
      <c r="D49" s="148"/>
      <c r="E49" s="148"/>
      <c r="F49" s="148"/>
      <c r="G49" s="9">
        <f>'Informações Gerais'!H21</f>
        <v>2E-3</v>
      </c>
      <c r="H49" s="40">
        <f t="shared" si="0"/>
        <v>4.1654816666666665</v>
      </c>
    </row>
    <row r="50" spans="2:8" ht="14.25">
      <c r="B50" s="13" t="s">
        <v>22</v>
      </c>
      <c r="C50" s="148" t="s">
        <v>23</v>
      </c>
      <c r="D50" s="148"/>
      <c r="E50" s="148"/>
      <c r="F50" s="148"/>
      <c r="G50" s="9">
        <f>'Informações Gerais'!H22</f>
        <v>0.08</v>
      </c>
      <c r="H50" s="40">
        <f t="shared" si="0"/>
        <v>166.61926666666668</v>
      </c>
    </row>
    <row r="51" spans="2:8" ht="18.399999999999999" customHeight="1">
      <c r="B51" s="142" t="s">
        <v>9</v>
      </c>
      <c r="C51" s="142"/>
      <c r="D51" s="142"/>
      <c r="E51" s="142"/>
      <c r="F51" s="142"/>
      <c r="G51" s="10">
        <f>SUM(G42:G50)</f>
        <v>0.36800000000000005</v>
      </c>
      <c r="H51" s="41">
        <f>SUM(H42:H50)</f>
        <v>766.44862666666666</v>
      </c>
    </row>
    <row r="52" spans="2:8" ht="18.399999999999999" customHeight="1">
      <c r="B52" s="150"/>
      <c r="C52" s="150"/>
      <c r="D52" s="150"/>
      <c r="E52" s="150"/>
      <c r="F52" s="150"/>
      <c r="G52" s="150"/>
      <c r="H52" s="150"/>
    </row>
    <row r="53" spans="2:8" ht="18.399999999999999" customHeight="1">
      <c r="B53" s="142" t="s">
        <v>63</v>
      </c>
      <c r="C53" s="142"/>
      <c r="D53" s="149" t="s">
        <v>64</v>
      </c>
      <c r="E53" s="153"/>
      <c r="F53" s="153"/>
      <c r="G53" s="154"/>
      <c r="H53" s="6" t="s">
        <v>62</v>
      </c>
    </row>
    <row r="54" spans="2:8" ht="14.25">
      <c r="B54" s="13" t="s">
        <v>6</v>
      </c>
      <c r="C54" s="159" t="s">
        <v>215</v>
      </c>
      <c r="D54" s="160"/>
      <c r="E54" s="160"/>
      <c r="F54" s="160"/>
      <c r="G54" s="161"/>
      <c r="H54" s="40">
        <f>ROUND(IF((CCT!E7*2*CCT!E17)-(CCT!E6*CCT!D22)&gt;=0,(CCT!E7*2*CCT!E17)-(CCT!E6*CCT!D22),0),2)</f>
        <v>126.38</v>
      </c>
    </row>
    <row r="55" spans="2:8" ht="14.25">
      <c r="B55" s="13" t="s">
        <v>8</v>
      </c>
      <c r="C55" s="159" t="s">
        <v>216</v>
      </c>
      <c r="D55" s="160"/>
      <c r="E55" s="160"/>
      <c r="F55" s="160"/>
      <c r="G55" s="161"/>
      <c r="H55" s="40">
        <f>CCT!E8-(CCT!E8*CCT!D23)</f>
        <v>930.3</v>
      </c>
    </row>
    <row r="56" spans="2:8" ht="14.25">
      <c r="B56" s="13" t="s">
        <v>13</v>
      </c>
      <c r="C56" s="159" t="s">
        <v>217</v>
      </c>
      <c r="D56" s="160"/>
      <c r="E56" s="160"/>
      <c r="F56" s="160"/>
      <c r="G56" s="161"/>
      <c r="H56" s="40">
        <f>CCT!E9</f>
        <v>200</v>
      </c>
    </row>
    <row r="57" spans="2:8" ht="14.25">
      <c r="B57" s="13" t="s">
        <v>14</v>
      </c>
      <c r="C57" s="159" t="s">
        <v>218</v>
      </c>
      <c r="D57" s="181"/>
      <c r="E57" s="181"/>
      <c r="F57" s="181"/>
      <c r="G57" s="161"/>
      <c r="H57" s="40">
        <f>CCT!E10</f>
        <v>13.64</v>
      </c>
    </row>
    <row r="58" spans="2:8" ht="14.25">
      <c r="B58" s="13" t="s">
        <v>16</v>
      </c>
      <c r="C58" s="159" t="s">
        <v>219</v>
      </c>
      <c r="D58" s="160"/>
      <c r="E58" s="160"/>
      <c r="F58" s="160"/>
      <c r="G58" s="161"/>
      <c r="H58" s="40">
        <f>CCT!E11</f>
        <v>3.61</v>
      </c>
    </row>
    <row r="59" spans="2:8" ht="14.25">
      <c r="B59" s="13" t="s">
        <v>18</v>
      </c>
      <c r="C59" s="145" t="s">
        <v>222</v>
      </c>
      <c r="D59" s="180"/>
      <c r="E59" s="180"/>
      <c r="F59" s="180"/>
      <c r="G59" s="179"/>
      <c r="H59" s="40">
        <f>CCT!E12</f>
        <v>0</v>
      </c>
    </row>
    <row r="60" spans="2:8" ht="14.25">
      <c r="B60" s="13" t="s">
        <v>20</v>
      </c>
      <c r="C60" s="145" t="s">
        <v>132</v>
      </c>
      <c r="D60" s="180"/>
      <c r="E60" s="180"/>
      <c r="F60" s="180"/>
      <c r="G60" s="179"/>
      <c r="H60" s="40">
        <f>CCT!E13</f>
        <v>0</v>
      </c>
    </row>
    <row r="61" spans="2:8" ht="14.25">
      <c r="B61" s="13" t="s">
        <v>22</v>
      </c>
      <c r="C61" s="145" t="s">
        <v>132</v>
      </c>
      <c r="D61" s="180"/>
      <c r="E61" s="180"/>
      <c r="F61" s="180"/>
      <c r="G61" s="179"/>
      <c r="H61" s="40">
        <f>CCT!E14</f>
        <v>0</v>
      </c>
    </row>
    <row r="62" spans="2:8" ht="14.25">
      <c r="B62" s="13" t="s">
        <v>123</v>
      </c>
      <c r="C62" s="159" t="s">
        <v>132</v>
      </c>
      <c r="D62" s="160"/>
      <c r="E62" s="160"/>
      <c r="F62" s="160"/>
      <c r="G62" s="161"/>
      <c r="H62" s="40">
        <f>CCT!E15</f>
        <v>0</v>
      </c>
    </row>
    <row r="63" spans="2:8" ht="18.399999999999999" customHeight="1">
      <c r="B63" s="149" t="s">
        <v>9</v>
      </c>
      <c r="C63" s="153"/>
      <c r="D63" s="153"/>
      <c r="E63" s="153"/>
      <c r="F63" s="153"/>
      <c r="G63" s="162"/>
      <c r="H63" s="41">
        <f>SUM(H54:H62)</f>
        <v>1273.9299999999998</v>
      </c>
    </row>
    <row r="64" spans="2:8" ht="18.399999999999999" customHeight="1">
      <c r="B64" s="150"/>
      <c r="C64" s="150"/>
      <c r="D64" s="150"/>
      <c r="E64" s="150"/>
      <c r="F64" s="150"/>
      <c r="G64" s="150"/>
      <c r="H64" s="150"/>
    </row>
    <row r="65" spans="1:18" ht="18.399999999999999" customHeight="1">
      <c r="B65" s="142" t="s">
        <v>196</v>
      </c>
      <c r="C65" s="142"/>
      <c r="D65" s="142" t="s">
        <v>203</v>
      </c>
      <c r="E65" s="142"/>
      <c r="F65" s="142"/>
      <c r="G65" s="142"/>
      <c r="H65" s="6" t="s">
        <v>62</v>
      </c>
    </row>
    <row r="66" spans="1:18" ht="18.399999999999999" customHeight="1">
      <c r="B66" s="13" t="s">
        <v>6</v>
      </c>
      <c r="C66" s="145" t="s">
        <v>214</v>
      </c>
      <c r="D66" s="146"/>
      <c r="E66" s="146"/>
      <c r="F66" s="146"/>
      <c r="G66" s="147"/>
      <c r="H66" s="40">
        <f>H32/220*(1+50%)*CCT!E19*CCT!E17*'Informações Gerais'!H26</f>
        <v>0</v>
      </c>
    </row>
    <row r="67" spans="1:18" ht="18.399999999999999" customHeight="1">
      <c r="B67" s="149" t="s">
        <v>9</v>
      </c>
      <c r="C67" s="149"/>
      <c r="D67" s="149"/>
      <c r="E67" s="149"/>
      <c r="F67" s="149"/>
      <c r="G67" s="16"/>
      <c r="H67" s="41">
        <f>H66</f>
        <v>0</v>
      </c>
    </row>
    <row r="68" spans="1:18" ht="18.399999999999999" customHeight="1">
      <c r="B68" s="182"/>
      <c r="C68" s="182"/>
      <c r="D68" s="182"/>
      <c r="E68" s="182"/>
      <c r="F68" s="182"/>
      <c r="G68" s="182"/>
      <c r="H68" s="182"/>
    </row>
    <row r="69" spans="1:18" ht="18.399999999999999" customHeight="1">
      <c r="B69" s="142" t="s">
        <v>65</v>
      </c>
      <c r="C69" s="142"/>
      <c r="D69" s="142"/>
      <c r="E69" s="142"/>
      <c r="F69" s="142"/>
      <c r="G69" s="142"/>
      <c r="H69" s="142"/>
    </row>
    <row r="70" spans="1:18" ht="18.399999999999999" customHeight="1">
      <c r="B70" s="6">
        <v>2</v>
      </c>
      <c r="C70" s="142" t="s">
        <v>66</v>
      </c>
      <c r="D70" s="142"/>
      <c r="E70" s="142"/>
      <c r="F70" s="142"/>
      <c r="G70" s="142"/>
      <c r="H70" s="6" t="s">
        <v>62</v>
      </c>
    </row>
    <row r="71" spans="1:18" ht="14.25">
      <c r="B71" s="13" t="s">
        <v>67</v>
      </c>
      <c r="C71" s="158" t="s">
        <v>68</v>
      </c>
      <c r="D71" s="158"/>
      <c r="E71" s="158"/>
      <c r="F71" s="158"/>
      <c r="G71" s="9">
        <f>G39</f>
        <v>0.19444444444444442</v>
      </c>
      <c r="H71" s="40">
        <f>H39</f>
        <v>339.05083333333334</v>
      </c>
    </row>
    <row r="72" spans="1:18" ht="14.25">
      <c r="B72" s="13" t="s">
        <v>69</v>
      </c>
      <c r="C72" s="158" t="s">
        <v>70</v>
      </c>
      <c r="D72" s="158"/>
      <c r="E72" s="158"/>
      <c r="F72" s="158"/>
      <c r="G72" s="98">
        <f>G51</f>
        <v>0.36800000000000005</v>
      </c>
      <c r="H72" s="40">
        <f>H51</f>
        <v>766.44862666666666</v>
      </c>
    </row>
    <row r="73" spans="1:18" ht="14.25">
      <c r="B73" s="13" t="s">
        <v>71</v>
      </c>
      <c r="C73" s="158" t="s">
        <v>64</v>
      </c>
      <c r="D73" s="158"/>
      <c r="E73" s="158"/>
      <c r="F73" s="158"/>
      <c r="G73" s="9">
        <v>0</v>
      </c>
      <c r="H73" s="40">
        <f>H63</f>
        <v>1273.9299999999998</v>
      </c>
    </row>
    <row r="74" spans="1:18" ht="14.25">
      <c r="B74" s="106" t="s">
        <v>200</v>
      </c>
      <c r="C74" s="145" t="s">
        <v>214</v>
      </c>
      <c r="D74" s="146"/>
      <c r="E74" s="146"/>
      <c r="F74" s="147"/>
      <c r="G74" s="9">
        <v>0</v>
      </c>
      <c r="H74" s="40">
        <f>H67</f>
        <v>0</v>
      </c>
    </row>
    <row r="75" spans="1:18" ht="18.399999999999999" customHeight="1">
      <c r="B75" s="149" t="s">
        <v>9</v>
      </c>
      <c r="C75" s="149"/>
      <c r="D75" s="149"/>
      <c r="E75" s="149"/>
      <c r="F75" s="149"/>
      <c r="G75" s="10">
        <f>SUM(G71:G73)</f>
        <v>0.56244444444444452</v>
      </c>
      <c r="H75" s="41">
        <f>SUM(H71:H74)</f>
        <v>2379.4294599999998</v>
      </c>
    </row>
    <row r="76" spans="1:18" s="15" customFormat="1" ht="18.399999999999999" customHeight="1">
      <c r="A76" s="12"/>
      <c r="B76" s="144"/>
      <c r="C76" s="144"/>
      <c r="D76" s="144"/>
      <c r="E76" s="144"/>
      <c r="F76" s="144"/>
      <c r="G76" s="144"/>
      <c r="H76" s="144"/>
    </row>
    <row r="77" spans="1:18" ht="18.399999999999999" customHeight="1">
      <c r="B77" s="142" t="s">
        <v>24</v>
      </c>
      <c r="C77" s="142"/>
      <c r="D77" s="142" t="s">
        <v>25</v>
      </c>
      <c r="E77" s="142"/>
      <c r="F77" s="142"/>
      <c r="G77" s="6" t="s">
        <v>5</v>
      </c>
      <c r="H77" s="6" t="s">
        <v>62</v>
      </c>
    </row>
    <row r="78" spans="1:18" ht="14.25">
      <c r="B78" s="13" t="s">
        <v>6</v>
      </c>
      <c r="C78" s="148" t="s">
        <v>26</v>
      </c>
      <c r="D78" s="148"/>
      <c r="E78" s="148"/>
      <c r="F78" s="148"/>
      <c r="G78" s="25">
        <f>'Informações Gerais'!H30</f>
        <v>4.1666666666666666E-3</v>
      </c>
      <c r="H78" s="40">
        <f>(H32+H39)*G78</f>
        <v>8.6780868055555551</v>
      </c>
      <c r="L78" s="17"/>
      <c r="M78" s="17"/>
      <c r="N78" s="17"/>
      <c r="O78" s="17"/>
      <c r="P78" s="17"/>
      <c r="Q78" s="17"/>
      <c r="R78" s="17"/>
    </row>
    <row r="79" spans="1:18" ht="14.25">
      <c r="B79" s="13" t="s">
        <v>8</v>
      </c>
      <c r="C79" s="148" t="s">
        <v>125</v>
      </c>
      <c r="D79" s="148"/>
      <c r="E79" s="148"/>
      <c r="F79" s="148"/>
      <c r="G79" s="25">
        <f>'Informações Gerais'!H31</f>
        <v>3.3333333333333332E-4</v>
      </c>
      <c r="H79" s="40">
        <f>(H32+H37)*G79</f>
        <v>0.62966583333333326</v>
      </c>
      <c r="K79" s="18"/>
      <c r="L79" s="17"/>
      <c r="M79" s="17"/>
      <c r="N79" s="17"/>
      <c r="O79" s="17"/>
      <c r="P79" s="17"/>
      <c r="Q79" s="17"/>
      <c r="R79" s="17"/>
    </row>
    <row r="80" spans="1:18" ht="14.25">
      <c r="B80" s="13" t="s">
        <v>13</v>
      </c>
      <c r="C80" s="148" t="s">
        <v>27</v>
      </c>
      <c r="D80" s="148"/>
      <c r="E80" s="148"/>
      <c r="F80" s="148"/>
      <c r="G80" s="25">
        <f>'Informações Gerais'!H32</f>
        <v>1.9444444444444445E-2</v>
      </c>
      <c r="H80" s="40">
        <f>$H$32*G80</f>
        <v>33.905083333333337</v>
      </c>
      <c r="L80" s="17"/>
      <c r="M80" s="17"/>
      <c r="N80" s="17"/>
      <c r="O80" s="17"/>
      <c r="P80" s="17"/>
      <c r="Q80" s="17"/>
      <c r="R80" s="17"/>
    </row>
    <row r="81" spans="1:18" ht="14.25">
      <c r="B81" s="13" t="s">
        <v>14</v>
      </c>
      <c r="C81" s="148" t="s">
        <v>220</v>
      </c>
      <c r="D81" s="148"/>
      <c r="E81" s="148"/>
      <c r="F81" s="148"/>
      <c r="G81" s="25">
        <f>'Informações Gerais'!H33</f>
        <v>7.1555555555555565E-3</v>
      </c>
      <c r="H81" s="40">
        <f t="shared" ref="H81:H82" si="1">$H$32*G81</f>
        <v>12.477070666666668</v>
      </c>
      <c r="L81" s="17"/>
      <c r="M81" s="17"/>
      <c r="N81" s="17"/>
      <c r="O81" s="17"/>
      <c r="P81" s="17"/>
      <c r="Q81" s="17"/>
      <c r="R81" s="17"/>
    </row>
    <row r="82" spans="1:18" ht="14.25">
      <c r="B82" s="13" t="s">
        <v>16</v>
      </c>
      <c r="C82" s="148" t="s">
        <v>124</v>
      </c>
      <c r="D82" s="148"/>
      <c r="E82" s="148"/>
      <c r="F82" s="148"/>
      <c r="G82" s="25">
        <f>'Informações Gerais'!H34</f>
        <v>0.04</v>
      </c>
      <c r="H82" s="40">
        <f t="shared" si="1"/>
        <v>69.747600000000006</v>
      </c>
      <c r="J82" s="19"/>
      <c r="L82" s="17"/>
      <c r="M82" s="17"/>
      <c r="N82" s="17"/>
      <c r="O82" s="17"/>
      <c r="P82" s="17"/>
      <c r="Q82" s="17"/>
      <c r="R82" s="17"/>
    </row>
    <row r="83" spans="1:18" ht="18.399999999999999" customHeight="1">
      <c r="B83" s="142" t="s">
        <v>9</v>
      </c>
      <c r="C83" s="142"/>
      <c r="D83" s="142"/>
      <c r="E83" s="142"/>
      <c r="F83" s="142"/>
      <c r="G83" s="10">
        <f>SUM(G78:G82)</f>
        <v>7.1099999999999997E-2</v>
      </c>
      <c r="H83" s="41">
        <f>SUM(H78:H82)</f>
        <v>125.43750663888889</v>
      </c>
    </row>
    <row r="84" spans="1:18" ht="18.399999999999999" customHeight="1">
      <c r="B84" s="150"/>
      <c r="C84" s="150"/>
      <c r="D84" s="150"/>
      <c r="E84" s="150"/>
      <c r="F84" s="150"/>
      <c r="G84" s="150"/>
      <c r="H84" s="150"/>
    </row>
    <row r="85" spans="1:18" ht="18.399999999999999" customHeight="1">
      <c r="B85" s="142" t="s">
        <v>72</v>
      </c>
      <c r="C85" s="142"/>
      <c r="D85" s="142" t="s">
        <v>73</v>
      </c>
      <c r="E85" s="142"/>
      <c r="F85" s="142"/>
      <c r="G85" s="142"/>
      <c r="H85" s="142"/>
    </row>
    <row r="86" spans="1:18" s="15" customFormat="1" ht="18.399999999999999" customHeight="1">
      <c r="A86" s="12"/>
      <c r="B86" s="11"/>
      <c r="C86" s="11"/>
      <c r="D86" s="11"/>
      <c r="E86" s="11"/>
      <c r="F86" s="11"/>
      <c r="G86" s="11"/>
      <c r="H86" s="11"/>
    </row>
    <row r="87" spans="1:18" ht="18.399999999999999" customHeight="1">
      <c r="B87" s="142" t="s">
        <v>28</v>
      </c>
      <c r="C87" s="142"/>
      <c r="D87" s="142" t="s">
        <v>29</v>
      </c>
      <c r="E87" s="142"/>
      <c r="F87" s="142"/>
      <c r="G87" s="6" t="s">
        <v>5</v>
      </c>
      <c r="H87" s="6" t="s">
        <v>62</v>
      </c>
    </row>
    <row r="88" spans="1:18" ht="14.25" customHeight="1">
      <c r="B88" s="13" t="s">
        <v>6</v>
      </c>
      <c r="C88" s="148" t="s">
        <v>148</v>
      </c>
      <c r="D88" s="148"/>
      <c r="E88" s="148"/>
      <c r="F88" s="148"/>
      <c r="G88" s="26">
        <f>'Informações Gerais'!H38</f>
        <v>1.6203703703703703E-2</v>
      </c>
      <c r="H88" s="40">
        <f>$H$32*G88</f>
        <v>28.254236111111112</v>
      </c>
    </row>
    <row r="89" spans="1:18" ht="14.25" customHeight="1">
      <c r="B89" s="13" t="s">
        <v>8</v>
      </c>
      <c r="C89" s="148" t="s">
        <v>30</v>
      </c>
      <c r="D89" s="148"/>
      <c r="E89" s="148"/>
      <c r="F89" s="148"/>
      <c r="G89" s="26">
        <f>'Informações Gerais'!H39</f>
        <v>2.8E-3</v>
      </c>
      <c r="H89" s="40">
        <f t="shared" ref="H89:H91" si="2">$H$32*G89</f>
        <v>4.8823319999999999</v>
      </c>
    </row>
    <row r="90" spans="1:18" ht="14.25" customHeight="1">
      <c r="B90" s="13" t="s">
        <v>13</v>
      </c>
      <c r="C90" s="148" t="s">
        <v>31</v>
      </c>
      <c r="D90" s="148"/>
      <c r="E90" s="148"/>
      <c r="F90" s="148"/>
      <c r="G90" s="26">
        <f>'Informações Gerais'!H40</f>
        <v>2.0000000000000001E-4</v>
      </c>
      <c r="H90" s="40">
        <f t="shared" si="2"/>
        <v>0.34873800000000005</v>
      </c>
    </row>
    <row r="91" spans="1:18" ht="14.25" customHeight="1">
      <c r="B91" s="13" t="s">
        <v>14</v>
      </c>
      <c r="C91" s="148" t="s">
        <v>32</v>
      </c>
      <c r="D91" s="148"/>
      <c r="E91" s="148"/>
      <c r="F91" s="148"/>
      <c r="G91" s="26">
        <f>'Informações Gerais'!H41</f>
        <v>1.5E-3</v>
      </c>
      <c r="H91" s="40">
        <f t="shared" si="2"/>
        <v>2.6155349999999999</v>
      </c>
    </row>
    <row r="92" spans="1:18" ht="14.25" customHeight="1">
      <c r="B92" s="13" t="s">
        <v>16</v>
      </c>
      <c r="C92" s="148" t="s">
        <v>33</v>
      </c>
      <c r="D92" s="148"/>
      <c r="E92" s="148"/>
      <c r="F92" s="148"/>
      <c r="G92" s="26">
        <f>'Informações Gerais'!H42</f>
        <v>5.9999999999999995E-4</v>
      </c>
      <c r="H92" s="40">
        <f>H39*6/12*G92</f>
        <v>0.10171524999999999</v>
      </c>
    </row>
    <row r="93" spans="1:18" ht="14.25" customHeight="1">
      <c r="B93" s="13" t="s">
        <v>18</v>
      </c>
      <c r="C93" s="155" t="s">
        <v>190</v>
      </c>
      <c r="D93" s="156"/>
      <c r="E93" s="156"/>
      <c r="F93" s="157"/>
      <c r="G93" s="99">
        <f>SUM(G88:G92)</f>
        <v>2.1303703703703703E-2</v>
      </c>
      <c r="H93" s="100">
        <f>SUM(H88:H92)</f>
        <v>36.202556361111107</v>
      </c>
    </row>
    <row r="94" spans="1:18" ht="14.25" customHeight="1">
      <c r="B94" s="13" t="s">
        <v>20</v>
      </c>
      <c r="C94" s="145" t="s">
        <v>193</v>
      </c>
      <c r="D94" s="146"/>
      <c r="E94" s="146"/>
      <c r="F94" s="147"/>
      <c r="G94" s="26">
        <f>'Informações Gerais'!H44</f>
        <v>5.9629629629629633E-3</v>
      </c>
      <c r="H94" s="40">
        <f>G94*$H$32</f>
        <v>10.39755888888889</v>
      </c>
    </row>
    <row r="95" spans="1:18" ht="14.25">
      <c r="B95" s="13" t="s">
        <v>22</v>
      </c>
      <c r="C95" s="145" t="s">
        <v>195</v>
      </c>
      <c r="D95" s="146"/>
      <c r="E95" s="146"/>
      <c r="F95" s="147"/>
      <c r="G95" s="26">
        <f>'Informações Gerais'!H45</f>
        <v>0</v>
      </c>
      <c r="H95" s="40">
        <f>G95*$H$32</f>
        <v>0</v>
      </c>
    </row>
    <row r="96" spans="1:18" ht="18.399999999999999" customHeight="1">
      <c r="B96" s="142" t="s">
        <v>9</v>
      </c>
      <c r="C96" s="142"/>
      <c r="D96" s="142"/>
      <c r="E96" s="142"/>
      <c r="F96" s="142"/>
      <c r="G96" s="10">
        <f>G93+G94+G95</f>
        <v>2.7266666666666668E-2</v>
      </c>
      <c r="H96" s="41">
        <f>H93+H94+H95</f>
        <v>46.600115249999995</v>
      </c>
    </row>
    <row r="97" spans="2:8" ht="18.399999999999999" customHeight="1">
      <c r="B97" s="150"/>
      <c r="C97" s="150"/>
      <c r="D97" s="150"/>
      <c r="E97" s="150"/>
      <c r="F97" s="150"/>
      <c r="G97" s="150"/>
      <c r="H97" s="150"/>
    </row>
    <row r="98" spans="2:8" ht="18.399999999999999" customHeight="1">
      <c r="B98" s="142" t="s">
        <v>74</v>
      </c>
      <c r="C98" s="142"/>
      <c r="D98" s="142" t="s">
        <v>75</v>
      </c>
      <c r="E98" s="142"/>
      <c r="F98" s="142"/>
      <c r="G98" s="142"/>
      <c r="H98" s="6" t="s">
        <v>62</v>
      </c>
    </row>
    <row r="99" spans="2:8" ht="14.25" customHeight="1">
      <c r="B99" s="13" t="s">
        <v>6</v>
      </c>
      <c r="C99" s="145" t="s">
        <v>213</v>
      </c>
      <c r="D99" s="146"/>
      <c r="E99" s="146"/>
      <c r="F99" s="146"/>
      <c r="G99" s="147"/>
      <c r="H99" s="40">
        <f>(H32+H75+H83)*220*1*CCT!E17*'Informações Gerais'!H49</f>
        <v>0</v>
      </c>
    </row>
    <row r="100" spans="2:8" ht="18.399999999999999" customHeight="1">
      <c r="B100" s="149" t="s">
        <v>9</v>
      </c>
      <c r="C100" s="149"/>
      <c r="D100" s="149"/>
      <c r="E100" s="149"/>
      <c r="F100" s="149"/>
      <c r="G100" s="16"/>
      <c r="H100" s="41">
        <f>H99</f>
        <v>0</v>
      </c>
    </row>
    <row r="101" spans="2:8" ht="18.399999999999999" customHeight="1">
      <c r="B101" s="150"/>
      <c r="C101" s="150"/>
      <c r="D101" s="150"/>
      <c r="E101" s="150"/>
      <c r="F101" s="150"/>
      <c r="G101" s="150"/>
      <c r="H101" s="150"/>
    </row>
    <row r="102" spans="2:8" ht="18.399999999999999" customHeight="1">
      <c r="B102" s="142" t="s">
        <v>77</v>
      </c>
      <c r="C102" s="142"/>
      <c r="D102" s="142"/>
      <c r="E102" s="142"/>
      <c r="F102" s="142"/>
      <c r="G102" s="142"/>
      <c r="H102" s="142"/>
    </row>
    <row r="103" spans="2:8" ht="18.399999999999999" customHeight="1">
      <c r="B103" s="6">
        <v>4</v>
      </c>
      <c r="C103" s="142" t="s">
        <v>78</v>
      </c>
      <c r="D103" s="142"/>
      <c r="E103" s="142"/>
      <c r="F103" s="142"/>
      <c r="G103" s="142"/>
      <c r="H103" s="6" t="s">
        <v>62</v>
      </c>
    </row>
    <row r="104" spans="2:8" ht="14.25">
      <c r="B104" s="13" t="s">
        <v>79</v>
      </c>
      <c r="C104" s="145" t="s">
        <v>208</v>
      </c>
      <c r="D104" s="146"/>
      <c r="E104" s="146"/>
      <c r="F104" s="146"/>
      <c r="G104" s="147"/>
      <c r="H104" s="40">
        <f>H96</f>
        <v>46.600115249999995</v>
      </c>
    </row>
    <row r="105" spans="2:8" ht="14.25">
      <c r="B105" s="13" t="s">
        <v>80</v>
      </c>
      <c r="C105" s="145" t="s">
        <v>209</v>
      </c>
      <c r="D105" s="146"/>
      <c r="E105" s="146"/>
      <c r="F105" s="146"/>
      <c r="G105" s="147"/>
      <c r="H105" s="40">
        <f>H100</f>
        <v>0</v>
      </c>
    </row>
    <row r="106" spans="2:8" ht="18.399999999999999" customHeight="1">
      <c r="B106" s="149" t="s">
        <v>9</v>
      </c>
      <c r="C106" s="149"/>
      <c r="D106" s="149"/>
      <c r="E106" s="149"/>
      <c r="F106" s="149"/>
      <c r="G106" s="16"/>
      <c r="H106" s="41">
        <f>SUM(H104:H105)</f>
        <v>46.600115249999995</v>
      </c>
    </row>
    <row r="107" spans="2:8" ht="18.399999999999999" customHeight="1">
      <c r="B107" s="150"/>
      <c r="C107" s="150"/>
      <c r="D107" s="150"/>
      <c r="E107" s="150"/>
      <c r="F107" s="150"/>
      <c r="G107" s="150"/>
      <c r="H107" s="150"/>
    </row>
    <row r="108" spans="2:8" ht="18.399999999999999" customHeight="1">
      <c r="B108" s="142" t="s">
        <v>81</v>
      </c>
      <c r="C108" s="142"/>
      <c r="D108" s="142" t="s">
        <v>82</v>
      </c>
      <c r="E108" s="142"/>
      <c r="F108" s="142"/>
      <c r="G108" s="142"/>
      <c r="H108" s="6" t="s">
        <v>62</v>
      </c>
    </row>
    <row r="109" spans="2:8" ht="14.25">
      <c r="B109" s="13" t="s">
        <v>6</v>
      </c>
      <c r="C109" s="145" t="s">
        <v>207</v>
      </c>
      <c r="D109" s="146"/>
      <c r="E109" s="146"/>
      <c r="F109" s="146"/>
      <c r="G109" s="147"/>
      <c r="H109" s="40">
        <f>'Uniformes e EPIs'!F32</f>
        <v>225.94666666666669</v>
      </c>
    </row>
    <row r="110" spans="2:8" ht="14.25">
      <c r="B110" s="13" t="s">
        <v>8</v>
      </c>
      <c r="C110" s="145" t="s">
        <v>206</v>
      </c>
      <c r="D110" s="146"/>
      <c r="E110" s="146"/>
      <c r="F110" s="146"/>
      <c r="G110" s="179"/>
      <c r="H110" s="40">
        <f>'Material de Consumo'!F33</f>
        <v>0</v>
      </c>
    </row>
    <row r="111" spans="2:8" ht="14.25">
      <c r="B111" s="13" t="s">
        <v>13</v>
      </c>
      <c r="C111" s="145" t="s">
        <v>205</v>
      </c>
      <c r="D111" s="180"/>
      <c r="E111" s="180"/>
      <c r="F111" s="180"/>
      <c r="G111" s="179"/>
      <c r="H111" s="40">
        <f>Equipamentos!G16</f>
        <v>16.556083333333333</v>
      </c>
    </row>
    <row r="112" spans="2:8" ht="14.25">
      <c r="B112" s="13" t="s">
        <v>14</v>
      </c>
      <c r="C112" s="145" t="s">
        <v>131</v>
      </c>
      <c r="D112" s="146"/>
      <c r="E112" s="146"/>
      <c r="F112" s="146"/>
      <c r="G112" s="147"/>
      <c r="H112" s="40">
        <v>0</v>
      </c>
    </row>
    <row r="113" spans="1:10" ht="14.25">
      <c r="B113" s="106" t="s">
        <v>16</v>
      </c>
      <c r="C113" s="145" t="s">
        <v>132</v>
      </c>
      <c r="D113" s="146"/>
      <c r="E113" s="146"/>
      <c r="F113" s="146"/>
      <c r="G113" s="147"/>
      <c r="H113" s="40">
        <v>0</v>
      </c>
    </row>
    <row r="114" spans="1:10" ht="18.399999999999999" customHeight="1">
      <c r="B114" s="149" t="s">
        <v>9</v>
      </c>
      <c r="C114" s="149"/>
      <c r="D114" s="149"/>
      <c r="E114" s="149"/>
      <c r="F114" s="149"/>
      <c r="G114" s="14"/>
      <c r="H114" s="41">
        <f>SUM(H109:H113)</f>
        <v>242.50275000000002</v>
      </c>
    </row>
    <row r="115" spans="1:10" s="15" customFormat="1" ht="18.399999999999999" customHeight="1">
      <c r="A115" s="12"/>
      <c r="B115" s="150"/>
      <c r="C115" s="150"/>
      <c r="D115" s="150"/>
      <c r="E115" s="150"/>
      <c r="F115" s="150"/>
      <c r="G115" s="150"/>
      <c r="H115" s="150"/>
    </row>
    <row r="116" spans="1:10" ht="18.399999999999999" customHeight="1">
      <c r="B116" s="142" t="s">
        <v>83</v>
      </c>
      <c r="C116" s="142"/>
      <c r="D116" s="142" t="s">
        <v>84</v>
      </c>
      <c r="E116" s="142"/>
      <c r="F116" s="142"/>
      <c r="G116" s="6" t="s">
        <v>5</v>
      </c>
      <c r="H116" s="6" t="s">
        <v>62</v>
      </c>
    </row>
    <row r="117" spans="1:10" ht="14.25">
      <c r="B117" s="13" t="s">
        <v>6</v>
      </c>
      <c r="C117" s="148" t="s">
        <v>85</v>
      </c>
      <c r="D117" s="148"/>
      <c r="E117" s="148"/>
      <c r="F117" s="148"/>
      <c r="G117" s="9">
        <f>BDI!L8</f>
        <v>0.05</v>
      </c>
      <c r="H117" s="40">
        <f>H132*G117</f>
        <v>226.88299159444446</v>
      </c>
    </row>
    <row r="118" spans="1:10" ht="14.25">
      <c r="B118" s="13" t="s">
        <v>8</v>
      </c>
      <c r="C118" s="148" t="s">
        <v>86</v>
      </c>
      <c r="D118" s="148"/>
      <c r="E118" s="148"/>
      <c r="F118" s="148"/>
      <c r="G118" s="9">
        <f>BDI!L9</f>
        <v>0.1</v>
      </c>
      <c r="H118" s="40">
        <f>(H132+H117)*G118</f>
        <v>476.45428234833338</v>
      </c>
    </row>
    <row r="119" spans="1:10" ht="14.25">
      <c r="B119" s="13" t="s">
        <v>13</v>
      </c>
      <c r="C119" s="148" t="s">
        <v>87</v>
      </c>
      <c r="D119" s="148"/>
      <c r="E119" s="148"/>
      <c r="F119" s="148"/>
      <c r="G119" s="29">
        <f>BDI!L10</f>
        <v>0.14250000000000002</v>
      </c>
      <c r="H119" s="40">
        <f>H120+H121+H122+H123</f>
        <v>870.95287181459184</v>
      </c>
    </row>
    <row r="120" spans="1:10" ht="14.25">
      <c r="B120" s="7"/>
      <c r="C120" s="143" t="s">
        <v>88</v>
      </c>
      <c r="D120" s="143"/>
      <c r="E120" s="143"/>
      <c r="F120" s="143"/>
      <c r="G120" s="9">
        <f>BDI!L11</f>
        <v>1.6500000000000001E-2</v>
      </c>
      <c r="H120" s="40">
        <f>($H$132+$H$117+$H$118)/(1-$G$119)*G120</f>
        <v>100.84717463116328</v>
      </c>
      <c r="J120" s="24"/>
    </row>
    <row r="121" spans="1:10" ht="14.25">
      <c r="B121" s="7"/>
      <c r="C121" s="143" t="s">
        <v>89</v>
      </c>
      <c r="D121" s="143"/>
      <c r="E121" s="143"/>
      <c r="F121" s="143"/>
      <c r="G121" s="9">
        <f>BDI!L12</f>
        <v>7.5999999999999998E-2</v>
      </c>
      <c r="H121" s="40">
        <f t="shared" ref="H121:H123" si="3">($H$132+$H$117+$H$118)/(1-$G$119)*G121</f>
        <v>464.50819830111567</v>
      </c>
    </row>
    <row r="122" spans="1:10" ht="14.25">
      <c r="B122" s="7"/>
      <c r="C122" s="143" t="s">
        <v>116</v>
      </c>
      <c r="D122" s="143"/>
      <c r="E122" s="143"/>
      <c r="F122" s="143"/>
      <c r="G122" s="9">
        <f>BDI!L13</f>
        <v>0</v>
      </c>
      <c r="H122" s="40">
        <f t="shared" si="3"/>
        <v>0</v>
      </c>
    </row>
    <row r="123" spans="1:10" ht="14.25">
      <c r="B123" s="7"/>
      <c r="C123" s="143" t="s">
        <v>90</v>
      </c>
      <c r="D123" s="143"/>
      <c r="E123" s="143"/>
      <c r="F123" s="143"/>
      <c r="G123" s="9">
        <f>BDI!L14</f>
        <v>0.05</v>
      </c>
      <c r="H123" s="40">
        <f t="shared" si="3"/>
        <v>305.59749888231295</v>
      </c>
      <c r="J123" s="3"/>
    </row>
    <row r="124" spans="1:10" ht="18.399999999999999" customHeight="1">
      <c r="B124" s="142" t="s">
        <v>9</v>
      </c>
      <c r="C124" s="142"/>
      <c r="D124" s="142"/>
      <c r="E124" s="142"/>
      <c r="F124" s="142"/>
      <c r="G124" s="10">
        <f>BDI!L15</f>
        <v>0.34693877551020447</v>
      </c>
      <c r="H124" s="41">
        <f>H117+H118+H119</f>
        <v>1574.2901457573698</v>
      </c>
    </row>
    <row r="125" spans="1:10" s="15" customFormat="1" ht="18.399999999999999" customHeight="1">
      <c r="A125" s="12"/>
      <c r="B125" s="144" t="s">
        <v>233</v>
      </c>
      <c r="C125" s="144"/>
      <c r="D125" s="144"/>
      <c r="E125" s="144"/>
      <c r="F125" s="144"/>
      <c r="G125" s="144"/>
      <c r="H125" s="144"/>
    </row>
    <row r="126" spans="1:10" ht="18.399999999999999" customHeight="1">
      <c r="B126" s="142" t="s">
        <v>91</v>
      </c>
      <c r="C126" s="142"/>
      <c r="D126" s="142"/>
      <c r="E126" s="142"/>
      <c r="F126" s="142"/>
      <c r="G126" s="142"/>
      <c r="H126" s="6" t="s">
        <v>62</v>
      </c>
    </row>
    <row r="127" spans="1:10" ht="14.25" customHeight="1">
      <c r="B127" s="13" t="s">
        <v>6</v>
      </c>
      <c r="C127" s="8" t="s">
        <v>92</v>
      </c>
      <c r="D127" s="145" t="s">
        <v>224</v>
      </c>
      <c r="E127" s="146"/>
      <c r="F127" s="146"/>
      <c r="G127" s="147"/>
      <c r="H127" s="40">
        <f>H32</f>
        <v>1743.69</v>
      </c>
    </row>
    <row r="128" spans="1:10" ht="14.25">
      <c r="B128" s="13" t="s">
        <v>8</v>
      </c>
      <c r="C128" s="8" t="s">
        <v>93</v>
      </c>
      <c r="D128" s="145" t="s">
        <v>225</v>
      </c>
      <c r="E128" s="146"/>
      <c r="F128" s="146"/>
      <c r="G128" s="147"/>
      <c r="H128" s="40">
        <f>H75</f>
        <v>2379.4294599999998</v>
      </c>
    </row>
    <row r="129" spans="2:8" ht="14.25">
      <c r="B129" s="13" t="s">
        <v>13</v>
      </c>
      <c r="C129" s="8" t="s">
        <v>94</v>
      </c>
      <c r="D129" s="145" t="s">
        <v>226</v>
      </c>
      <c r="E129" s="146"/>
      <c r="F129" s="146"/>
      <c r="G129" s="179"/>
      <c r="H129" s="40">
        <f>H83</f>
        <v>125.43750663888889</v>
      </c>
    </row>
    <row r="130" spans="2:8" ht="14.25">
      <c r="B130" s="13" t="s">
        <v>14</v>
      </c>
      <c r="C130" s="8" t="s">
        <v>95</v>
      </c>
      <c r="D130" s="145" t="s">
        <v>227</v>
      </c>
      <c r="E130" s="146"/>
      <c r="F130" s="146"/>
      <c r="G130" s="179"/>
      <c r="H130" s="40">
        <f>H106</f>
        <v>46.600115249999995</v>
      </c>
    </row>
    <row r="131" spans="2:8" ht="14.25">
      <c r="B131" s="13" t="s">
        <v>16</v>
      </c>
      <c r="C131" s="8" t="s">
        <v>96</v>
      </c>
      <c r="D131" s="145" t="s">
        <v>228</v>
      </c>
      <c r="E131" s="146"/>
      <c r="F131" s="146"/>
      <c r="G131" s="179"/>
      <c r="H131" s="40">
        <f>H114</f>
        <v>242.50275000000002</v>
      </c>
    </row>
    <row r="132" spans="2:8" ht="14.25">
      <c r="B132" s="142" t="s">
        <v>97</v>
      </c>
      <c r="C132" s="142"/>
      <c r="D132" s="142"/>
      <c r="E132" s="142"/>
      <c r="F132" s="142"/>
      <c r="G132" s="142"/>
      <c r="H132" s="41">
        <f>SUM(H127:H131)</f>
        <v>4537.6598318888891</v>
      </c>
    </row>
    <row r="133" spans="2:8" ht="14.25" customHeight="1">
      <c r="B133" s="13" t="s">
        <v>18</v>
      </c>
      <c r="C133" s="7" t="s">
        <v>98</v>
      </c>
      <c r="D133" s="145" t="s">
        <v>229</v>
      </c>
      <c r="E133" s="146"/>
      <c r="F133" s="146"/>
      <c r="G133" s="147"/>
      <c r="H133" s="40">
        <f>H124</f>
        <v>1574.2901457573698</v>
      </c>
    </row>
    <row r="134" spans="2:8" ht="14.25">
      <c r="B134" s="142" t="s">
        <v>99</v>
      </c>
      <c r="C134" s="142"/>
      <c r="D134" s="142"/>
      <c r="E134" s="142"/>
      <c r="F134" s="142"/>
      <c r="G134" s="142"/>
      <c r="H134" s="41">
        <f>H132+H133</f>
        <v>6111.949977646259</v>
      </c>
    </row>
  </sheetData>
  <mergeCells count="158">
    <mergeCell ref="C8:F8"/>
    <mergeCell ref="G8:H8"/>
    <mergeCell ref="C9:F9"/>
    <mergeCell ref="G9:H9"/>
    <mergeCell ref="C10:F10"/>
    <mergeCell ref="G10:H10"/>
    <mergeCell ref="B1:H2"/>
    <mergeCell ref="B5:H5"/>
    <mergeCell ref="B6:H6"/>
    <mergeCell ref="C7:F7"/>
    <mergeCell ref="G7:H7"/>
    <mergeCell ref="F4:G4"/>
    <mergeCell ref="B3:H3"/>
    <mergeCell ref="B4:E4"/>
    <mergeCell ref="B15:H15"/>
    <mergeCell ref="B16:H16"/>
    <mergeCell ref="B17:H17"/>
    <mergeCell ref="C18:F18"/>
    <mergeCell ref="G18:H18"/>
    <mergeCell ref="C19:F19"/>
    <mergeCell ref="G19:H19"/>
    <mergeCell ref="B11:H11"/>
    <mergeCell ref="B12:H12"/>
    <mergeCell ref="B13:D13"/>
    <mergeCell ref="E13:F13"/>
    <mergeCell ref="G13:H13"/>
    <mergeCell ref="B14:D14"/>
    <mergeCell ref="E14:F14"/>
    <mergeCell ref="G14:H14"/>
    <mergeCell ref="B23:H23"/>
    <mergeCell ref="B24:C24"/>
    <mergeCell ref="D24:G24"/>
    <mergeCell ref="C25:F25"/>
    <mergeCell ref="C26:F26"/>
    <mergeCell ref="C27:F27"/>
    <mergeCell ref="C20:F20"/>
    <mergeCell ref="G20:H20"/>
    <mergeCell ref="C21:F21"/>
    <mergeCell ref="G21:H21"/>
    <mergeCell ref="C22:F22"/>
    <mergeCell ref="G22:H22"/>
    <mergeCell ref="B35:H35"/>
    <mergeCell ref="B36:C36"/>
    <mergeCell ref="D36:F36"/>
    <mergeCell ref="C37:F37"/>
    <mergeCell ref="C38:F38"/>
    <mergeCell ref="B39:F39"/>
    <mergeCell ref="C28:F28"/>
    <mergeCell ref="C29:F29"/>
    <mergeCell ref="C31:F31"/>
    <mergeCell ref="B32:F32"/>
    <mergeCell ref="B33:H33"/>
    <mergeCell ref="B34:C34"/>
    <mergeCell ref="D34:H34"/>
    <mergeCell ref="C30:F30"/>
    <mergeCell ref="C45:F45"/>
    <mergeCell ref="C46:F46"/>
    <mergeCell ref="C47:F47"/>
    <mergeCell ref="C48:F48"/>
    <mergeCell ref="C49:F49"/>
    <mergeCell ref="C50:F50"/>
    <mergeCell ref="B40:H40"/>
    <mergeCell ref="B41:C41"/>
    <mergeCell ref="D41:F41"/>
    <mergeCell ref="C42:F42"/>
    <mergeCell ref="C43:F43"/>
    <mergeCell ref="C44:F44"/>
    <mergeCell ref="B76:H76"/>
    <mergeCell ref="B51:F51"/>
    <mergeCell ref="B52:H52"/>
    <mergeCell ref="B53:C53"/>
    <mergeCell ref="D53:G53"/>
    <mergeCell ref="C54:G54"/>
    <mergeCell ref="C55:G55"/>
    <mergeCell ref="C59:G59"/>
    <mergeCell ref="C60:G60"/>
    <mergeCell ref="C61:G61"/>
    <mergeCell ref="C56:G56"/>
    <mergeCell ref="C57:G57"/>
    <mergeCell ref="C58:G58"/>
    <mergeCell ref="B69:H69"/>
    <mergeCell ref="C70:G70"/>
    <mergeCell ref="C71:F71"/>
    <mergeCell ref="C72:F72"/>
    <mergeCell ref="C73:F73"/>
    <mergeCell ref="B75:F75"/>
    <mergeCell ref="C74:F74"/>
    <mergeCell ref="C62:G62"/>
    <mergeCell ref="B63:G63"/>
    <mergeCell ref="B64:H64"/>
    <mergeCell ref="B68:H68"/>
    <mergeCell ref="B65:C65"/>
    <mergeCell ref="D65:G65"/>
    <mergeCell ref="C66:G66"/>
    <mergeCell ref="B67:F67"/>
    <mergeCell ref="C111:G111"/>
    <mergeCell ref="C104:G104"/>
    <mergeCell ref="C105:G105"/>
    <mergeCell ref="B106:F106"/>
    <mergeCell ref="C109:G109"/>
    <mergeCell ref="C110:G110"/>
    <mergeCell ref="B77:C77"/>
    <mergeCell ref="D77:F77"/>
    <mergeCell ref="C78:F78"/>
    <mergeCell ref="C79:F79"/>
    <mergeCell ref="C80:F80"/>
    <mergeCell ref="C81:F81"/>
    <mergeCell ref="C82:F82"/>
    <mergeCell ref="B83:F83"/>
    <mergeCell ref="B84:H84"/>
    <mergeCell ref="B85:C85"/>
    <mergeCell ref="D85:H85"/>
    <mergeCell ref="B98:C98"/>
    <mergeCell ref="D98:G98"/>
    <mergeCell ref="C93:F93"/>
    <mergeCell ref="B87:C87"/>
    <mergeCell ref="D87:F87"/>
    <mergeCell ref="C88:F88"/>
    <mergeCell ref="C89:F89"/>
    <mergeCell ref="C90:F90"/>
    <mergeCell ref="C91:F91"/>
    <mergeCell ref="B134:G134"/>
    <mergeCell ref="C112:G112"/>
    <mergeCell ref="D128:G128"/>
    <mergeCell ref="B132:G132"/>
    <mergeCell ref="C121:F121"/>
    <mergeCell ref="C122:F122"/>
    <mergeCell ref="C123:F123"/>
    <mergeCell ref="B124:F124"/>
    <mergeCell ref="B125:H125"/>
    <mergeCell ref="B126:G126"/>
    <mergeCell ref="B116:C116"/>
    <mergeCell ref="D116:F116"/>
    <mergeCell ref="C117:F117"/>
    <mergeCell ref="C118:F118"/>
    <mergeCell ref="C119:F119"/>
    <mergeCell ref="C120:F120"/>
    <mergeCell ref="D127:G127"/>
    <mergeCell ref="D129:G129"/>
    <mergeCell ref="D130:G130"/>
    <mergeCell ref="C113:G113"/>
    <mergeCell ref="B114:F114"/>
    <mergeCell ref="B115:H115"/>
    <mergeCell ref="D131:G131"/>
    <mergeCell ref="D133:G133"/>
    <mergeCell ref="C92:F92"/>
    <mergeCell ref="C94:F94"/>
    <mergeCell ref="B96:F96"/>
    <mergeCell ref="B97:H97"/>
    <mergeCell ref="B107:H107"/>
    <mergeCell ref="B108:C108"/>
    <mergeCell ref="D108:G108"/>
    <mergeCell ref="B100:F100"/>
    <mergeCell ref="B101:H101"/>
    <mergeCell ref="B102:H102"/>
    <mergeCell ref="C99:G99"/>
    <mergeCell ref="C103:G103"/>
    <mergeCell ref="C95:F95"/>
  </mergeCells>
  <printOptions horizontalCentered="1"/>
  <pageMargins left="1.1023622047244099" right="0.70866141732283516" top="1.5640625000000001" bottom="0.95447916666666721" header="0.31496062992126012" footer="0.31496062992126012"/>
  <pageSetup paperSize="9" scale="60" fitToWidth="0" fitToHeight="0" orientation="portrait" useFirstPageNumber="1" r:id="rId1"/>
  <rowBreaks count="1" manualBreakCount="1">
    <brk id="75" max="7" man="1"/>
  </rowBreaks>
  <colBreaks count="1" manualBreakCount="1">
    <brk id="8" man="1"/>
  </col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1BDB3-DE05-4BA2-9697-8C72FA64C836}">
  <dimension ref="A1:R134"/>
  <sheetViews>
    <sheetView view="pageBreakPreview" topLeftCell="A124" zoomScale="130" zoomScaleNormal="100" zoomScaleSheetLayoutView="130" workbookViewId="0">
      <selection activeCell="H112" sqref="H112"/>
    </sheetView>
  </sheetViews>
  <sheetFormatPr defaultColWidth="9.140625" defaultRowHeight="18.399999999999999" customHeight="1"/>
  <cols>
    <col min="1" max="1" width="1.7109375" style="12" customWidth="1"/>
    <col min="2" max="2" width="7" style="15" customWidth="1"/>
    <col min="3" max="3" width="38.85546875" style="15" customWidth="1"/>
    <col min="4" max="4" width="19.85546875" style="15" hidden="1" customWidth="1"/>
    <col min="5" max="5" width="23.140625" style="15" customWidth="1"/>
    <col min="6" max="6" width="32.28515625" style="15" customWidth="1"/>
    <col min="7" max="7" width="13.85546875" style="15" customWidth="1"/>
    <col min="8" max="8" width="18.42578125" style="15" customWidth="1"/>
    <col min="9" max="9" width="9" style="2" customWidth="1"/>
    <col min="10" max="10" width="44.7109375" style="2" customWidth="1"/>
    <col min="11" max="11" width="9" style="2" customWidth="1"/>
    <col min="12" max="12" width="13.5703125" style="2" customWidth="1"/>
    <col min="13" max="1025" width="9" style="2" customWidth="1"/>
    <col min="1026" max="1026" width="9.140625" style="2" customWidth="1"/>
    <col min="1027" max="16384" width="9.140625" style="2"/>
  </cols>
  <sheetData>
    <row r="1" spans="2:8" ht="12.75" customHeight="1">
      <c r="B1" s="183" t="s">
        <v>34</v>
      </c>
      <c r="C1" s="183"/>
      <c r="D1" s="183"/>
      <c r="E1" s="183"/>
      <c r="F1" s="183"/>
      <c r="G1" s="183"/>
      <c r="H1" s="183"/>
    </row>
    <row r="2" spans="2:8" ht="12.75" customHeight="1">
      <c r="B2" s="183"/>
      <c r="C2" s="183"/>
      <c r="D2" s="183"/>
      <c r="E2" s="183"/>
      <c r="F2" s="183"/>
      <c r="G2" s="183"/>
      <c r="H2" s="183"/>
    </row>
    <row r="3" spans="2:8" ht="18.399999999999999" customHeight="1">
      <c r="B3" s="184" t="s">
        <v>127</v>
      </c>
      <c r="C3" s="185"/>
      <c r="D3" s="185"/>
      <c r="E3" s="185"/>
      <c r="F3" s="185"/>
      <c r="G3" s="185"/>
      <c r="H3" s="164"/>
    </row>
    <row r="4" spans="2:8" ht="18.399999999999999" customHeight="1">
      <c r="B4" s="184" t="s">
        <v>128</v>
      </c>
      <c r="C4" s="185"/>
      <c r="D4" s="185"/>
      <c r="E4" s="164"/>
      <c r="F4" s="169" t="s">
        <v>142</v>
      </c>
      <c r="G4" s="169"/>
      <c r="H4" s="103">
        <v>1743.69</v>
      </c>
    </row>
    <row r="5" spans="2:8" ht="18.399999999999999" customHeight="1">
      <c r="B5" s="144"/>
      <c r="C5" s="144"/>
      <c r="D5" s="144"/>
      <c r="E5" s="144"/>
      <c r="F5" s="144"/>
      <c r="G5" s="144"/>
      <c r="H5" s="144"/>
    </row>
    <row r="6" spans="2:8" ht="18.399999999999999" customHeight="1">
      <c r="B6" s="142" t="s">
        <v>35</v>
      </c>
      <c r="C6" s="142"/>
      <c r="D6" s="142"/>
      <c r="E6" s="142"/>
      <c r="F6" s="142"/>
      <c r="G6" s="142"/>
      <c r="H6" s="142"/>
    </row>
    <row r="7" spans="2:8" ht="14.25">
      <c r="B7" s="13" t="s">
        <v>6</v>
      </c>
      <c r="C7" s="148" t="s">
        <v>36</v>
      </c>
      <c r="D7" s="148"/>
      <c r="E7" s="148"/>
      <c r="F7" s="148"/>
      <c r="G7" s="173"/>
      <c r="H7" s="173"/>
    </row>
    <row r="8" spans="2:8" ht="14.25">
      <c r="B8" s="13" t="s">
        <v>8</v>
      </c>
      <c r="C8" s="148" t="s">
        <v>37</v>
      </c>
      <c r="D8" s="148"/>
      <c r="E8" s="148"/>
      <c r="F8" s="148"/>
      <c r="G8" s="163"/>
      <c r="H8" s="163"/>
    </row>
    <row r="9" spans="2:8" ht="14.25">
      <c r="B9" s="13" t="s">
        <v>13</v>
      </c>
      <c r="C9" s="148" t="s">
        <v>38</v>
      </c>
      <c r="D9" s="148"/>
      <c r="E9" s="148"/>
      <c r="F9" s="148"/>
      <c r="G9" s="163"/>
      <c r="H9" s="163"/>
    </row>
    <row r="10" spans="2:8" ht="14.25">
      <c r="B10" s="13" t="s">
        <v>14</v>
      </c>
      <c r="C10" s="148" t="s">
        <v>39</v>
      </c>
      <c r="D10" s="148"/>
      <c r="E10" s="148"/>
      <c r="F10" s="148"/>
      <c r="G10" s="163"/>
      <c r="H10" s="163"/>
    </row>
    <row r="11" spans="2:8" ht="18.399999999999999" customHeight="1">
      <c r="B11" s="150"/>
      <c r="C11" s="150"/>
      <c r="D11" s="150"/>
      <c r="E11" s="150"/>
      <c r="F11" s="150"/>
      <c r="G11" s="150"/>
      <c r="H11" s="150"/>
    </row>
    <row r="12" spans="2:8" ht="18.399999999999999" customHeight="1">
      <c r="B12" s="142" t="s">
        <v>40</v>
      </c>
      <c r="C12" s="142"/>
      <c r="D12" s="142"/>
      <c r="E12" s="142"/>
      <c r="F12" s="142"/>
      <c r="G12" s="142"/>
      <c r="H12" s="142"/>
    </row>
    <row r="13" spans="2:8" ht="14.25">
      <c r="B13" s="169" t="s">
        <v>41</v>
      </c>
      <c r="C13" s="169"/>
      <c r="D13" s="169"/>
      <c r="E13" s="170" t="s">
        <v>42</v>
      </c>
      <c r="F13" s="170"/>
      <c r="G13" s="169" t="s">
        <v>43</v>
      </c>
      <c r="H13" s="169"/>
    </row>
    <row r="14" spans="2:8" ht="14.25">
      <c r="B14" s="169" t="str">
        <f>Resumo!B5</f>
        <v>COPEIRO</v>
      </c>
      <c r="C14" s="169"/>
      <c r="D14" s="169"/>
      <c r="E14" s="170" t="s">
        <v>129</v>
      </c>
      <c r="F14" s="170"/>
      <c r="G14" s="171">
        <v>2</v>
      </c>
      <c r="H14" s="169"/>
    </row>
    <row r="15" spans="2:8" ht="18.399999999999999" customHeight="1">
      <c r="B15" s="150"/>
      <c r="C15" s="150"/>
      <c r="D15" s="150"/>
      <c r="E15" s="150"/>
      <c r="F15" s="150"/>
      <c r="G15" s="150"/>
      <c r="H15" s="150"/>
    </row>
    <row r="16" spans="2:8" ht="18.399999999999999" customHeight="1">
      <c r="B16" s="142" t="s">
        <v>44</v>
      </c>
      <c r="C16" s="142"/>
      <c r="D16" s="142"/>
      <c r="E16" s="142"/>
      <c r="F16" s="142"/>
      <c r="G16" s="142"/>
      <c r="H16" s="142"/>
    </row>
    <row r="17" spans="2:8" ht="18.399999999999999" customHeight="1">
      <c r="B17" s="172" t="s">
        <v>45</v>
      </c>
      <c r="C17" s="172"/>
      <c r="D17" s="172"/>
      <c r="E17" s="172"/>
      <c r="F17" s="172"/>
      <c r="G17" s="172"/>
      <c r="H17" s="172"/>
    </row>
    <row r="18" spans="2:8" ht="14.25">
      <c r="B18" s="13">
        <v>1</v>
      </c>
      <c r="C18" s="158" t="s">
        <v>46</v>
      </c>
      <c r="D18" s="158"/>
      <c r="E18" s="158"/>
      <c r="F18" s="158"/>
      <c r="G18" s="163"/>
      <c r="H18" s="164"/>
    </row>
    <row r="19" spans="2:8" ht="14.25">
      <c r="B19" s="13">
        <v>2</v>
      </c>
      <c r="C19" s="158" t="s">
        <v>47</v>
      </c>
      <c r="D19" s="158"/>
      <c r="E19" s="158"/>
      <c r="F19" s="158"/>
      <c r="G19" s="163"/>
      <c r="H19" s="164"/>
    </row>
    <row r="20" spans="2:8" ht="14.25">
      <c r="B20" s="13">
        <v>3</v>
      </c>
      <c r="C20" s="158" t="s">
        <v>48</v>
      </c>
      <c r="D20" s="158"/>
      <c r="E20" s="158"/>
      <c r="F20" s="158"/>
      <c r="G20" s="167">
        <f>CCT!F6</f>
        <v>1743.69</v>
      </c>
      <c r="H20" s="168"/>
    </row>
    <row r="21" spans="2:8" ht="14.25">
      <c r="B21" s="13">
        <v>4</v>
      </c>
      <c r="C21" s="158" t="s">
        <v>49</v>
      </c>
      <c r="D21" s="158"/>
      <c r="E21" s="158"/>
      <c r="F21" s="158"/>
      <c r="G21" s="163"/>
      <c r="H21" s="164"/>
    </row>
    <row r="22" spans="2:8" ht="14.25">
      <c r="B22" s="13">
        <v>5</v>
      </c>
      <c r="C22" s="158" t="s">
        <v>50</v>
      </c>
      <c r="D22" s="158"/>
      <c r="E22" s="158"/>
      <c r="F22" s="158"/>
      <c r="G22" s="165"/>
      <c r="H22" s="166"/>
    </row>
    <row r="23" spans="2:8" ht="18.399999999999999" customHeight="1">
      <c r="B23" s="150"/>
      <c r="C23" s="150"/>
      <c r="D23" s="150"/>
      <c r="E23" s="150"/>
      <c r="F23" s="150"/>
      <c r="G23" s="150"/>
      <c r="H23" s="150"/>
    </row>
    <row r="24" spans="2:8" ht="18.399999999999999" customHeight="1">
      <c r="B24" s="149" t="s">
        <v>51</v>
      </c>
      <c r="C24" s="154"/>
      <c r="D24" s="149" t="s">
        <v>52</v>
      </c>
      <c r="E24" s="153"/>
      <c r="F24" s="153"/>
      <c r="G24" s="154"/>
      <c r="H24" s="6" t="s">
        <v>53</v>
      </c>
    </row>
    <row r="25" spans="2:8" ht="14.25">
      <c r="B25" s="13" t="s">
        <v>6</v>
      </c>
      <c r="C25" s="158" t="s">
        <v>54</v>
      </c>
      <c r="D25" s="158"/>
      <c r="E25" s="158"/>
      <c r="F25" s="158"/>
      <c r="G25" s="29"/>
      <c r="H25" s="40">
        <f>G20</f>
        <v>1743.69</v>
      </c>
    </row>
    <row r="26" spans="2:8" ht="14.25">
      <c r="B26" s="13" t="s">
        <v>8</v>
      </c>
      <c r="C26" s="158" t="s">
        <v>55</v>
      </c>
      <c r="D26" s="158"/>
      <c r="E26" s="158"/>
      <c r="F26" s="158"/>
      <c r="G26" s="9">
        <f>'Informações Específicas'!F6</f>
        <v>0</v>
      </c>
      <c r="H26" s="40">
        <f>H25*G26</f>
        <v>0</v>
      </c>
    </row>
    <row r="27" spans="2:8" ht="14.25">
      <c r="B27" s="13" t="s">
        <v>13</v>
      </c>
      <c r="C27" s="158" t="s">
        <v>56</v>
      </c>
      <c r="D27" s="158"/>
      <c r="E27" s="158"/>
      <c r="F27" s="158"/>
      <c r="G27" s="9">
        <f>'Informações Específicas'!F7</f>
        <v>0</v>
      </c>
      <c r="H27" s="40">
        <f>H4*G27</f>
        <v>0</v>
      </c>
    </row>
    <row r="28" spans="2:8" ht="14.25">
      <c r="B28" s="13" t="s">
        <v>14</v>
      </c>
      <c r="C28" s="158" t="s">
        <v>57</v>
      </c>
      <c r="D28" s="158"/>
      <c r="E28" s="158"/>
      <c r="F28" s="158"/>
      <c r="G28" s="9">
        <f>'Informações Específicas'!F8</f>
        <v>0</v>
      </c>
      <c r="H28" s="40">
        <f>(H25+H26+H27)/220*G28*7*CCT!F17</f>
        <v>0</v>
      </c>
    </row>
    <row r="29" spans="2:8" ht="14.25">
      <c r="B29" s="13" t="s">
        <v>16</v>
      </c>
      <c r="C29" s="158" t="s">
        <v>58</v>
      </c>
      <c r="D29" s="158"/>
      <c r="E29" s="158"/>
      <c r="F29" s="158"/>
      <c r="G29" s="9">
        <f>'Informações Específicas'!F9</f>
        <v>0</v>
      </c>
      <c r="H29" s="40">
        <f>(H25+H26+H27)/220*G29*1*CCT!F17</f>
        <v>0</v>
      </c>
    </row>
    <row r="30" spans="2:8" ht="14.25">
      <c r="B30" s="13" t="s">
        <v>18</v>
      </c>
      <c r="C30" s="158" t="s">
        <v>184</v>
      </c>
      <c r="D30" s="158"/>
      <c r="E30" s="158"/>
      <c r="F30" s="158"/>
      <c r="G30" s="9">
        <f>'Informações Específicas'!F10</f>
        <v>0</v>
      </c>
      <c r="H30" s="40">
        <f>(H25+H26+H27+H28+H29)/220*(1+G30)*CCT!F17*CCT!F18</f>
        <v>0</v>
      </c>
    </row>
    <row r="31" spans="2:8" ht="14.25">
      <c r="B31" s="13" t="s">
        <v>20</v>
      </c>
      <c r="C31" s="158" t="s">
        <v>59</v>
      </c>
      <c r="D31" s="158"/>
      <c r="E31" s="158"/>
      <c r="F31" s="158"/>
      <c r="G31" s="9">
        <f>'Informações Específicas'!F11</f>
        <v>0</v>
      </c>
      <c r="H31" s="40">
        <v>0</v>
      </c>
    </row>
    <row r="32" spans="2:8" ht="18.399999999999999" customHeight="1">
      <c r="B32" s="149" t="s">
        <v>9</v>
      </c>
      <c r="C32" s="149"/>
      <c r="D32" s="149"/>
      <c r="E32" s="149"/>
      <c r="F32" s="149"/>
      <c r="G32" s="10">
        <f>SUM(G26:G31)</f>
        <v>0</v>
      </c>
      <c r="H32" s="41">
        <f>SUM(H25:H31)</f>
        <v>1743.69</v>
      </c>
    </row>
    <row r="33" spans="1:8" s="15" customFormat="1" ht="18.399999999999999" customHeight="1">
      <c r="A33" s="12"/>
      <c r="B33" s="150"/>
      <c r="C33" s="150"/>
      <c r="D33" s="150"/>
      <c r="E33" s="150"/>
      <c r="F33" s="150"/>
      <c r="G33" s="150"/>
      <c r="H33" s="150"/>
    </row>
    <row r="34" spans="1:8" ht="18.399999999999999" customHeight="1">
      <c r="B34" s="142" t="s">
        <v>60</v>
      </c>
      <c r="C34" s="142"/>
      <c r="D34" s="142" t="s">
        <v>61</v>
      </c>
      <c r="E34" s="142"/>
      <c r="F34" s="142"/>
      <c r="G34" s="142"/>
      <c r="H34" s="142"/>
    </row>
    <row r="35" spans="1:8" ht="18.399999999999999" customHeight="1">
      <c r="B35" s="150"/>
      <c r="C35" s="150"/>
      <c r="D35" s="150"/>
      <c r="E35" s="150"/>
      <c r="F35" s="150"/>
      <c r="G35" s="150"/>
      <c r="H35" s="150"/>
    </row>
    <row r="36" spans="1:8" ht="18.399999999999999" customHeight="1">
      <c r="B36" s="142" t="s">
        <v>3</v>
      </c>
      <c r="C36" s="142"/>
      <c r="D36" s="142" t="s">
        <v>4</v>
      </c>
      <c r="E36" s="142"/>
      <c r="F36" s="142"/>
      <c r="G36" s="6" t="s">
        <v>5</v>
      </c>
      <c r="H36" s="6" t="s">
        <v>62</v>
      </c>
    </row>
    <row r="37" spans="1:8" ht="14.25">
      <c r="B37" s="13" t="s">
        <v>6</v>
      </c>
      <c r="C37" s="148" t="s">
        <v>7</v>
      </c>
      <c r="D37" s="148"/>
      <c r="E37" s="148"/>
      <c r="F37" s="148"/>
      <c r="G37" s="9">
        <f>'Informações Gerais'!H9</f>
        <v>8.3333333333333329E-2</v>
      </c>
      <c r="H37" s="40">
        <f>$H$32*G37</f>
        <v>145.3075</v>
      </c>
    </row>
    <row r="38" spans="1:8" ht="14.25">
      <c r="B38" s="13" t="s">
        <v>8</v>
      </c>
      <c r="C38" s="148" t="s">
        <v>136</v>
      </c>
      <c r="D38" s="148"/>
      <c r="E38" s="148"/>
      <c r="F38" s="148"/>
      <c r="G38" s="9">
        <f>'Informações Gerais'!H10</f>
        <v>0.1111111111111111</v>
      </c>
      <c r="H38" s="40">
        <f>$H$32*G38</f>
        <v>193.74333333333334</v>
      </c>
    </row>
    <row r="39" spans="1:8" ht="18.399999999999999" customHeight="1">
      <c r="B39" s="142" t="s">
        <v>9</v>
      </c>
      <c r="C39" s="142"/>
      <c r="D39" s="142"/>
      <c r="E39" s="142"/>
      <c r="F39" s="142"/>
      <c r="G39" s="10">
        <f>SUM(G37:G38)</f>
        <v>0.19444444444444442</v>
      </c>
      <c r="H39" s="41">
        <f>SUM(H37:H38)</f>
        <v>339.05083333333334</v>
      </c>
    </row>
    <row r="40" spans="1:8" ht="18.399999999999999" customHeight="1">
      <c r="B40" s="150"/>
      <c r="C40" s="150"/>
      <c r="D40" s="150"/>
      <c r="E40" s="150"/>
      <c r="F40" s="150"/>
      <c r="G40" s="150"/>
      <c r="H40" s="150"/>
    </row>
    <row r="41" spans="1:8" ht="24" customHeight="1">
      <c r="B41" s="142" t="s">
        <v>10</v>
      </c>
      <c r="C41" s="142"/>
      <c r="D41" s="142" t="s">
        <v>11</v>
      </c>
      <c r="E41" s="142"/>
      <c r="F41" s="142"/>
      <c r="G41" s="6" t="s">
        <v>5</v>
      </c>
      <c r="H41" s="6" t="s">
        <v>62</v>
      </c>
    </row>
    <row r="42" spans="1:8" ht="14.25">
      <c r="B42" s="13" t="s">
        <v>6</v>
      </c>
      <c r="C42" s="148" t="s">
        <v>12</v>
      </c>
      <c r="D42" s="148"/>
      <c r="E42" s="148"/>
      <c r="F42" s="148"/>
      <c r="G42" s="9">
        <f>'Informações Gerais'!H14</f>
        <v>0.2</v>
      </c>
      <c r="H42" s="40">
        <f>(H32+H39)*G42</f>
        <v>416.5481666666667</v>
      </c>
    </row>
    <row r="43" spans="1:8" ht="14.25">
      <c r="B43" s="13" t="s">
        <v>138</v>
      </c>
      <c r="C43" s="145" t="s">
        <v>223</v>
      </c>
      <c r="D43" s="146"/>
      <c r="E43" s="146"/>
      <c r="F43" s="147"/>
      <c r="G43" s="9">
        <f>'Informações Gerais'!H15</f>
        <v>0</v>
      </c>
      <c r="H43" s="40">
        <f>(H32+H38)*G43</f>
        <v>0</v>
      </c>
    </row>
    <row r="44" spans="1:8" ht="14.25">
      <c r="B44" s="13" t="s">
        <v>8</v>
      </c>
      <c r="C44" s="148" t="s">
        <v>121</v>
      </c>
      <c r="D44" s="148"/>
      <c r="E44" s="148"/>
      <c r="F44" s="148"/>
      <c r="G44" s="9">
        <f>'Informações Gerais'!H16</f>
        <v>2.5000000000000001E-2</v>
      </c>
      <c r="H44" s="40">
        <f>($H$32+$H$39)*G44</f>
        <v>52.068520833333338</v>
      </c>
    </row>
    <row r="45" spans="1:8" ht="14.25">
      <c r="B45" s="13" t="s">
        <v>13</v>
      </c>
      <c r="C45" s="148" t="s">
        <v>122</v>
      </c>
      <c r="D45" s="148"/>
      <c r="E45" s="148"/>
      <c r="F45" s="148"/>
      <c r="G45" s="9">
        <f>'Informações Gerais'!H17</f>
        <v>0.03</v>
      </c>
      <c r="H45" s="40">
        <f t="shared" ref="H45:H50" si="0">($H$32+$H$39)*G45</f>
        <v>62.482225</v>
      </c>
    </row>
    <row r="46" spans="1:8" ht="14.25">
      <c r="B46" s="13" t="s">
        <v>14</v>
      </c>
      <c r="C46" s="148" t="s">
        <v>15</v>
      </c>
      <c r="D46" s="148"/>
      <c r="E46" s="148"/>
      <c r="F46" s="148"/>
      <c r="G46" s="9">
        <f>'Informações Gerais'!H18</f>
        <v>1.4999999999999999E-2</v>
      </c>
      <c r="H46" s="40">
        <f t="shared" si="0"/>
        <v>31.2411125</v>
      </c>
    </row>
    <row r="47" spans="1:8" ht="14.25">
      <c r="B47" s="13" t="s">
        <v>16</v>
      </c>
      <c r="C47" s="148" t="s">
        <v>17</v>
      </c>
      <c r="D47" s="148"/>
      <c r="E47" s="148"/>
      <c r="F47" s="148"/>
      <c r="G47" s="9">
        <f>'Informações Gerais'!H19</f>
        <v>0.01</v>
      </c>
      <c r="H47" s="40">
        <f t="shared" si="0"/>
        <v>20.827408333333334</v>
      </c>
    </row>
    <row r="48" spans="1:8" ht="14.25">
      <c r="B48" s="13" t="s">
        <v>18</v>
      </c>
      <c r="C48" s="148" t="s">
        <v>19</v>
      </c>
      <c r="D48" s="148"/>
      <c r="E48" s="148"/>
      <c r="F48" s="148"/>
      <c r="G48" s="9">
        <f>'Informações Gerais'!H20</f>
        <v>6.0000000000000001E-3</v>
      </c>
      <c r="H48" s="40">
        <f t="shared" si="0"/>
        <v>12.496445</v>
      </c>
    </row>
    <row r="49" spans="2:8" ht="14.25">
      <c r="B49" s="13" t="s">
        <v>20</v>
      </c>
      <c r="C49" s="148" t="s">
        <v>21</v>
      </c>
      <c r="D49" s="148"/>
      <c r="E49" s="148"/>
      <c r="F49" s="148"/>
      <c r="G49" s="9">
        <f>'Informações Gerais'!H21</f>
        <v>2E-3</v>
      </c>
      <c r="H49" s="40">
        <f t="shared" si="0"/>
        <v>4.1654816666666665</v>
      </c>
    </row>
    <row r="50" spans="2:8" ht="14.25">
      <c r="B50" s="13" t="s">
        <v>22</v>
      </c>
      <c r="C50" s="148" t="s">
        <v>23</v>
      </c>
      <c r="D50" s="148"/>
      <c r="E50" s="148"/>
      <c r="F50" s="148"/>
      <c r="G50" s="9">
        <f>'Informações Gerais'!H22</f>
        <v>0.08</v>
      </c>
      <c r="H50" s="40">
        <f t="shared" si="0"/>
        <v>166.61926666666668</v>
      </c>
    </row>
    <row r="51" spans="2:8" ht="18.399999999999999" customHeight="1">
      <c r="B51" s="142" t="s">
        <v>9</v>
      </c>
      <c r="C51" s="142"/>
      <c r="D51" s="142"/>
      <c r="E51" s="142"/>
      <c r="F51" s="142"/>
      <c r="G51" s="10">
        <f>SUM(G42:G50)</f>
        <v>0.36800000000000005</v>
      </c>
      <c r="H51" s="41">
        <f>SUM(H42:H50)</f>
        <v>766.44862666666666</v>
      </c>
    </row>
    <row r="52" spans="2:8" ht="18.399999999999999" customHeight="1">
      <c r="B52" s="150"/>
      <c r="C52" s="150"/>
      <c r="D52" s="150"/>
      <c r="E52" s="150"/>
      <c r="F52" s="150"/>
      <c r="G52" s="150"/>
      <c r="H52" s="150"/>
    </row>
    <row r="53" spans="2:8" ht="18.399999999999999" customHeight="1">
      <c r="B53" s="142" t="s">
        <v>63</v>
      </c>
      <c r="C53" s="142"/>
      <c r="D53" s="149" t="s">
        <v>64</v>
      </c>
      <c r="E53" s="153"/>
      <c r="F53" s="153"/>
      <c r="G53" s="154"/>
      <c r="H53" s="6" t="s">
        <v>62</v>
      </c>
    </row>
    <row r="54" spans="2:8" ht="14.25">
      <c r="B54" s="13" t="s">
        <v>6</v>
      </c>
      <c r="C54" s="159" t="s">
        <v>215</v>
      </c>
      <c r="D54" s="160"/>
      <c r="E54" s="160"/>
      <c r="F54" s="160"/>
      <c r="G54" s="161"/>
      <c r="H54" s="40">
        <f>ROUND(IF((CCT!F7*2*CCT!F17)-(CCT!F6*CCT!D22)&gt;=0,(CCT!F7*2*CCT!F17)-(CCT!F6*CCT!D22),0),2)</f>
        <v>126.38</v>
      </c>
    </row>
    <row r="55" spans="2:8" ht="14.25">
      <c r="B55" s="13" t="s">
        <v>8</v>
      </c>
      <c r="C55" s="159" t="s">
        <v>216</v>
      </c>
      <c r="D55" s="160"/>
      <c r="E55" s="160"/>
      <c r="F55" s="160"/>
      <c r="G55" s="161"/>
      <c r="H55" s="40">
        <f>CCT!F8-(CCT!F8*CCT!D23)</f>
        <v>930.3</v>
      </c>
    </row>
    <row r="56" spans="2:8" ht="14.25">
      <c r="B56" s="13" t="s">
        <v>13</v>
      </c>
      <c r="C56" s="159" t="s">
        <v>217</v>
      </c>
      <c r="D56" s="160"/>
      <c r="E56" s="160"/>
      <c r="F56" s="160"/>
      <c r="G56" s="161"/>
      <c r="H56" s="40">
        <f>CCT!F9</f>
        <v>200</v>
      </c>
    </row>
    <row r="57" spans="2:8" ht="14.25">
      <c r="B57" s="13" t="s">
        <v>14</v>
      </c>
      <c r="C57" s="159" t="s">
        <v>218</v>
      </c>
      <c r="D57" s="181"/>
      <c r="E57" s="181"/>
      <c r="F57" s="181"/>
      <c r="G57" s="161"/>
      <c r="H57" s="40">
        <f>CCT!F10</f>
        <v>13.64</v>
      </c>
    </row>
    <row r="58" spans="2:8" ht="14.25">
      <c r="B58" s="13" t="s">
        <v>16</v>
      </c>
      <c r="C58" s="159" t="s">
        <v>219</v>
      </c>
      <c r="D58" s="160"/>
      <c r="E58" s="160"/>
      <c r="F58" s="160"/>
      <c r="G58" s="161"/>
      <c r="H58" s="40">
        <f>CCT!F11</f>
        <v>3.61</v>
      </c>
    </row>
    <row r="59" spans="2:8" ht="14.25">
      <c r="B59" s="13" t="s">
        <v>18</v>
      </c>
      <c r="C59" s="145" t="s">
        <v>222</v>
      </c>
      <c r="D59" s="180"/>
      <c r="E59" s="180"/>
      <c r="F59" s="180"/>
      <c r="G59" s="179"/>
      <c r="H59" s="40">
        <f>CCT!F12</f>
        <v>0</v>
      </c>
    </row>
    <row r="60" spans="2:8" ht="14.25">
      <c r="B60" s="13" t="s">
        <v>20</v>
      </c>
      <c r="C60" s="145" t="s">
        <v>132</v>
      </c>
      <c r="D60" s="180"/>
      <c r="E60" s="180"/>
      <c r="F60" s="180"/>
      <c r="G60" s="179"/>
      <c r="H60" s="40">
        <f>CCT!F13</f>
        <v>0</v>
      </c>
    </row>
    <row r="61" spans="2:8" ht="14.25">
      <c r="B61" s="13" t="s">
        <v>22</v>
      </c>
      <c r="C61" s="145" t="s">
        <v>132</v>
      </c>
      <c r="D61" s="180"/>
      <c r="E61" s="180"/>
      <c r="F61" s="180"/>
      <c r="G61" s="179"/>
      <c r="H61" s="40">
        <f>CCT!F14</f>
        <v>0</v>
      </c>
    </row>
    <row r="62" spans="2:8" ht="14.25">
      <c r="B62" s="13" t="s">
        <v>123</v>
      </c>
      <c r="C62" s="159" t="s">
        <v>132</v>
      </c>
      <c r="D62" s="160"/>
      <c r="E62" s="160"/>
      <c r="F62" s="160"/>
      <c r="G62" s="161"/>
      <c r="H62" s="40">
        <f>CCT!F15</f>
        <v>0</v>
      </c>
    </row>
    <row r="63" spans="2:8" ht="18.399999999999999" customHeight="1">
      <c r="B63" s="149" t="s">
        <v>9</v>
      </c>
      <c r="C63" s="153"/>
      <c r="D63" s="153"/>
      <c r="E63" s="153"/>
      <c r="F63" s="153"/>
      <c r="G63" s="162"/>
      <c r="H63" s="41">
        <f>SUM(H54:H62)</f>
        <v>1273.9299999999998</v>
      </c>
    </row>
    <row r="64" spans="2:8" ht="18.399999999999999" customHeight="1">
      <c r="B64" s="150"/>
      <c r="C64" s="150"/>
      <c r="D64" s="150"/>
      <c r="E64" s="150"/>
      <c r="F64" s="150"/>
      <c r="G64" s="150"/>
      <c r="H64" s="150"/>
    </row>
    <row r="65" spans="1:18" ht="18.399999999999999" customHeight="1">
      <c r="B65" s="142" t="s">
        <v>196</v>
      </c>
      <c r="C65" s="142"/>
      <c r="D65" s="142" t="s">
        <v>203</v>
      </c>
      <c r="E65" s="142"/>
      <c r="F65" s="142"/>
      <c r="G65" s="142"/>
      <c r="H65" s="6" t="s">
        <v>62</v>
      </c>
    </row>
    <row r="66" spans="1:18" ht="18.399999999999999" customHeight="1">
      <c r="B66" s="13" t="s">
        <v>6</v>
      </c>
      <c r="C66" s="145" t="s">
        <v>214</v>
      </c>
      <c r="D66" s="146"/>
      <c r="E66" s="146"/>
      <c r="F66" s="146"/>
      <c r="G66" s="147"/>
      <c r="H66" s="40">
        <f>H32/220*(1+50%)*CCT!F19*CCT!F17*'Informações Gerais'!H26</f>
        <v>0</v>
      </c>
    </row>
    <row r="67" spans="1:18" ht="18.399999999999999" customHeight="1">
      <c r="B67" s="149" t="s">
        <v>9</v>
      </c>
      <c r="C67" s="149"/>
      <c r="D67" s="149"/>
      <c r="E67" s="149"/>
      <c r="F67" s="149"/>
      <c r="G67" s="16"/>
      <c r="H67" s="41">
        <f>H66</f>
        <v>0</v>
      </c>
    </row>
    <row r="68" spans="1:18" ht="18.399999999999999" customHeight="1">
      <c r="B68" s="182"/>
      <c r="C68" s="182"/>
      <c r="D68" s="182"/>
      <c r="E68" s="182"/>
      <c r="F68" s="182"/>
      <c r="G68" s="182"/>
      <c r="H68" s="182"/>
    </row>
    <row r="69" spans="1:18" ht="18.399999999999999" customHeight="1">
      <c r="B69" s="142" t="s">
        <v>65</v>
      </c>
      <c r="C69" s="142"/>
      <c r="D69" s="142"/>
      <c r="E69" s="142"/>
      <c r="F69" s="142"/>
      <c r="G69" s="142"/>
      <c r="H69" s="142"/>
    </row>
    <row r="70" spans="1:18" ht="18.399999999999999" customHeight="1">
      <c r="B70" s="6">
        <v>2</v>
      </c>
      <c r="C70" s="142" t="s">
        <v>66</v>
      </c>
      <c r="D70" s="142"/>
      <c r="E70" s="142"/>
      <c r="F70" s="142"/>
      <c r="G70" s="142"/>
      <c r="H70" s="6" t="s">
        <v>62</v>
      </c>
    </row>
    <row r="71" spans="1:18" ht="14.25">
      <c r="B71" s="13" t="s">
        <v>67</v>
      </c>
      <c r="C71" s="158" t="s">
        <v>68</v>
      </c>
      <c r="D71" s="158"/>
      <c r="E71" s="158"/>
      <c r="F71" s="158"/>
      <c r="G71" s="9">
        <f>G39</f>
        <v>0.19444444444444442</v>
      </c>
      <c r="H71" s="40">
        <f>H39</f>
        <v>339.05083333333334</v>
      </c>
    </row>
    <row r="72" spans="1:18" ht="14.25">
      <c r="B72" s="13" t="s">
        <v>69</v>
      </c>
      <c r="C72" s="158" t="s">
        <v>70</v>
      </c>
      <c r="D72" s="158"/>
      <c r="E72" s="158"/>
      <c r="F72" s="158"/>
      <c r="G72" s="98">
        <f>G51</f>
        <v>0.36800000000000005</v>
      </c>
      <c r="H72" s="40">
        <f>H51</f>
        <v>766.44862666666666</v>
      </c>
    </row>
    <row r="73" spans="1:18" ht="14.25">
      <c r="B73" s="13" t="s">
        <v>71</v>
      </c>
      <c r="C73" s="158" t="s">
        <v>64</v>
      </c>
      <c r="D73" s="158"/>
      <c r="E73" s="158"/>
      <c r="F73" s="158"/>
      <c r="G73" s="9">
        <v>0</v>
      </c>
      <c r="H73" s="40">
        <f>H63</f>
        <v>1273.9299999999998</v>
      </c>
    </row>
    <row r="74" spans="1:18" ht="14.25">
      <c r="B74" s="106" t="s">
        <v>200</v>
      </c>
      <c r="C74" s="145" t="s">
        <v>214</v>
      </c>
      <c r="D74" s="146"/>
      <c r="E74" s="146"/>
      <c r="F74" s="147"/>
      <c r="G74" s="9">
        <v>0</v>
      </c>
      <c r="H74" s="40">
        <f>H67</f>
        <v>0</v>
      </c>
    </row>
    <row r="75" spans="1:18" ht="18.399999999999999" customHeight="1">
      <c r="B75" s="149" t="s">
        <v>9</v>
      </c>
      <c r="C75" s="149"/>
      <c r="D75" s="149"/>
      <c r="E75" s="149"/>
      <c r="F75" s="149"/>
      <c r="G75" s="10">
        <f>SUM(G71:G74)</f>
        <v>0.56244444444444452</v>
      </c>
      <c r="H75" s="41">
        <f>SUM(H71:H74)</f>
        <v>2379.4294599999998</v>
      </c>
    </row>
    <row r="76" spans="1:18" s="15" customFormat="1" ht="18.399999999999999" customHeight="1">
      <c r="A76" s="12"/>
      <c r="B76" s="144"/>
      <c r="C76" s="144"/>
      <c r="D76" s="144"/>
      <c r="E76" s="144"/>
      <c r="F76" s="144"/>
      <c r="G76" s="144"/>
      <c r="H76" s="144"/>
    </row>
    <row r="77" spans="1:18" ht="18.399999999999999" customHeight="1">
      <c r="B77" s="142" t="s">
        <v>24</v>
      </c>
      <c r="C77" s="142"/>
      <c r="D77" s="142" t="s">
        <v>25</v>
      </c>
      <c r="E77" s="142"/>
      <c r="F77" s="142"/>
      <c r="G77" s="6" t="s">
        <v>5</v>
      </c>
      <c r="H77" s="6" t="s">
        <v>62</v>
      </c>
    </row>
    <row r="78" spans="1:18" ht="14.25">
      <c r="B78" s="13" t="s">
        <v>6</v>
      </c>
      <c r="C78" s="148" t="s">
        <v>26</v>
      </c>
      <c r="D78" s="148"/>
      <c r="E78" s="148"/>
      <c r="F78" s="148"/>
      <c r="G78" s="25">
        <f>'Informações Gerais'!H30</f>
        <v>4.1666666666666666E-3</v>
      </c>
      <c r="H78" s="40">
        <f>(H32+H39)*G78</f>
        <v>8.6780868055555551</v>
      </c>
      <c r="L78" s="17"/>
      <c r="M78" s="17"/>
      <c r="N78" s="17"/>
      <c r="O78" s="17"/>
      <c r="P78" s="17"/>
      <c r="Q78" s="17"/>
      <c r="R78" s="17"/>
    </row>
    <row r="79" spans="1:18" ht="14.25">
      <c r="B79" s="13" t="s">
        <v>8</v>
      </c>
      <c r="C79" s="148" t="s">
        <v>125</v>
      </c>
      <c r="D79" s="148"/>
      <c r="E79" s="148"/>
      <c r="F79" s="148"/>
      <c r="G79" s="25">
        <f>'Informações Gerais'!H31</f>
        <v>3.3333333333333332E-4</v>
      </c>
      <c r="H79" s="40">
        <f>(H32+H37)*G79</f>
        <v>0.62966583333333326</v>
      </c>
      <c r="K79" s="18"/>
      <c r="L79" s="17"/>
      <c r="M79" s="17"/>
      <c r="N79" s="17"/>
      <c r="O79" s="17"/>
      <c r="P79" s="17"/>
      <c r="Q79" s="17"/>
      <c r="R79" s="17"/>
    </row>
    <row r="80" spans="1:18" ht="14.25">
      <c r="B80" s="13" t="s">
        <v>13</v>
      </c>
      <c r="C80" s="148" t="s">
        <v>27</v>
      </c>
      <c r="D80" s="148"/>
      <c r="E80" s="148"/>
      <c r="F80" s="148"/>
      <c r="G80" s="25">
        <f>'Informações Gerais'!H32</f>
        <v>1.9444444444444445E-2</v>
      </c>
      <c r="H80" s="40">
        <f>$H$32*G80</f>
        <v>33.905083333333337</v>
      </c>
      <c r="L80" s="17"/>
      <c r="M80" s="17"/>
      <c r="N80" s="17"/>
      <c r="O80" s="17"/>
      <c r="P80" s="17"/>
      <c r="Q80" s="17"/>
      <c r="R80" s="17"/>
    </row>
    <row r="81" spans="1:18" ht="14.25">
      <c r="B81" s="13" t="s">
        <v>14</v>
      </c>
      <c r="C81" s="148" t="s">
        <v>220</v>
      </c>
      <c r="D81" s="148"/>
      <c r="E81" s="148"/>
      <c r="F81" s="148"/>
      <c r="G81" s="25">
        <f>'Informações Gerais'!H33</f>
        <v>7.1555555555555565E-3</v>
      </c>
      <c r="H81" s="40">
        <f t="shared" ref="H81:H82" si="1">$H$32*G81</f>
        <v>12.477070666666668</v>
      </c>
      <c r="L81" s="17"/>
      <c r="M81" s="17"/>
      <c r="N81" s="17"/>
      <c r="O81" s="17"/>
      <c r="P81" s="17"/>
      <c r="Q81" s="17"/>
      <c r="R81" s="17"/>
    </row>
    <row r="82" spans="1:18" ht="14.25">
      <c r="B82" s="13" t="s">
        <v>16</v>
      </c>
      <c r="C82" s="148" t="s">
        <v>124</v>
      </c>
      <c r="D82" s="148"/>
      <c r="E82" s="148"/>
      <c r="F82" s="148"/>
      <c r="G82" s="25">
        <f>'Informações Gerais'!H34</f>
        <v>0.04</v>
      </c>
      <c r="H82" s="40">
        <f t="shared" si="1"/>
        <v>69.747600000000006</v>
      </c>
      <c r="J82" s="19"/>
      <c r="L82" s="17"/>
      <c r="M82" s="17"/>
      <c r="N82" s="17"/>
      <c r="O82" s="17"/>
      <c r="P82" s="17"/>
      <c r="Q82" s="17"/>
      <c r="R82" s="17"/>
    </row>
    <row r="83" spans="1:18" ht="18.399999999999999" customHeight="1">
      <c r="B83" s="142" t="s">
        <v>9</v>
      </c>
      <c r="C83" s="142"/>
      <c r="D83" s="142"/>
      <c r="E83" s="142"/>
      <c r="F83" s="142"/>
      <c r="G83" s="10">
        <f>SUM(G78:G82)</f>
        <v>7.1099999999999997E-2</v>
      </c>
      <c r="H83" s="41">
        <f>SUM(H78:H82)</f>
        <v>125.43750663888889</v>
      </c>
    </row>
    <row r="84" spans="1:18" ht="18.399999999999999" customHeight="1">
      <c r="B84" s="150"/>
      <c r="C84" s="150"/>
      <c r="D84" s="150"/>
      <c r="E84" s="150"/>
      <c r="F84" s="150"/>
      <c r="G84" s="150"/>
      <c r="H84" s="150"/>
    </row>
    <row r="85" spans="1:18" ht="18.399999999999999" customHeight="1">
      <c r="B85" s="142" t="s">
        <v>72</v>
      </c>
      <c r="C85" s="142"/>
      <c r="D85" s="142" t="s">
        <v>73</v>
      </c>
      <c r="E85" s="142"/>
      <c r="F85" s="142"/>
      <c r="G85" s="142"/>
      <c r="H85" s="142"/>
    </row>
    <row r="86" spans="1:18" s="15" customFormat="1" ht="18.399999999999999" customHeight="1">
      <c r="A86" s="12"/>
      <c r="B86" s="11"/>
      <c r="C86" s="11"/>
      <c r="D86" s="11"/>
      <c r="E86" s="11"/>
      <c r="F86" s="11"/>
      <c r="G86" s="11"/>
      <c r="H86" s="11"/>
    </row>
    <row r="87" spans="1:18" ht="18.399999999999999" customHeight="1">
      <c r="B87" s="142" t="s">
        <v>28</v>
      </c>
      <c r="C87" s="142"/>
      <c r="D87" s="142" t="s">
        <v>29</v>
      </c>
      <c r="E87" s="142"/>
      <c r="F87" s="142"/>
      <c r="G87" s="6" t="s">
        <v>5</v>
      </c>
      <c r="H87" s="6" t="s">
        <v>62</v>
      </c>
    </row>
    <row r="88" spans="1:18" ht="14.25" customHeight="1">
      <c r="B88" s="13" t="s">
        <v>6</v>
      </c>
      <c r="C88" s="148" t="s">
        <v>148</v>
      </c>
      <c r="D88" s="148"/>
      <c r="E88" s="148"/>
      <c r="F88" s="148"/>
      <c r="G88" s="26">
        <f>'Informações Gerais'!H38</f>
        <v>1.6203703703703703E-2</v>
      </c>
      <c r="H88" s="40">
        <f>$H$32*G88</f>
        <v>28.254236111111112</v>
      </c>
    </row>
    <row r="89" spans="1:18" ht="14.25" customHeight="1">
      <c r="B89" s="13" t="s">
        <v>8</v>
      </c>
      <c r="C89" s="148" t="s">
        <v>30</v>
      </c>
      <c r="D89" s="148"/>
      <c r="E89" s="148"/>
      <c r="F89" s="148"/>
      <c r="G89" s="26">
        <f>'Informações Gerais'!H39</f>
        <v>2.8E-3</v>
      </c>
      <c r="H89" s="40">
        <f t="shared" ref="H89:H91" si="2">$H$32*G89</f>
        <v>4.8823319999999999</v>
      </c>
    </row>
    <row r="90" spans="1:18" ht="14.25" customHeight="1">
      <c r="B90" s="13" t="s">
        <v>13</v>
      </c>
      <c r="C90" s="148" t="s">
        <v>31</v>
      </c>
      <c r="D90" s="148"/>
      <c r="E90" s="148"/>
      <c r="F90" s="148"/>
      <c r="G90" s="26">
        <f>'Informações Gerais'!H40</f>
        <v>2.0000000000000001E-4</v>
      </c>
      <c r="H90" s="40">
        <f t="shared" si="2"/>
        <v>0.34873800000000005</v>
      </c>
    </row>
    <row r="91" spans="1:18" ht="14.25" customHeight="1">
      <c r="B91" s="13" t="s">
        <v>14</v>
      </c>
      <c r="C91" s="148" t="s">
        <v>32</v>
      </c>
      <c r="D91" s="148"/>
      <c r="E91" s="148"/>
      <c r="F91" s="148"/>
      <c r="G91" s="26">
        <f>'Informações Gerais'!H41</f>
        <v>1.5E-3</v>
      </c>
      <c r="H91" s="40">
        <f t="shared" si="2"/>
        <v>2.6155349999999999</v>
      </c>
    </row>
    <row r="92" spans="1:18" ht="13.9" customHeight="1">
      <c r="B92" s="13" t="s">
        <v>16</v>
      </c>
      <c r="C92" s="148" t="s">
        <v>33</v>
      </c>
      <c r="D92" s="148"/>
      <c r="E92" s="148"/>
      <c r="F92" s="148"/>
      <c r="G92" s="26">
        <f>'Informações Gerais'!H42</f>
        <v>5.9999999999999995E-4</v>
      </c>
      <c r="H92" s="40">
        <f>H39*6/12*G92</f>
        <v>0.10171524999999999</v>
      </c>
    </row>
    <row r="93" spans="1:18" ht="14.25" customHeight="1">
      <c r="B93" s="13" t="s">
        <v>18</v>
      </c>
      <c r="C93" s="155" t="s">
        <v>190</v>
      </c>
      <c r="D93" s="156"/>
      <c r="E93" s="156"/>
      <c r="F93" s="157"/>
      <c r="G93" s="99">
        <f>SUM(G88:G92)</f>
        <v>2.1303703703703703E-2</v>
      </c>
      <c r="H93" s="100">
        <f>SUM(H88:H92)</f>
        <v>36.202556361111107</v>
      </c>
    </row>
    <row r="94" spans="1:18" ht="14.25" customHeight="1">
      <c r="B94" s="13" t="s">
        <v>20</v>
      </c>
      <c r="C94" s="145" t="s">
        <v>193</v>
      </c>
      <c r="D94" s="146"/>
      <c r="E94" s="146"/>
      <c r="F94" s="147"/>
      <c r="G94" s="26">
        <f>'Informações Gerais'!H44</f>
        <v>5.9629629629629633E-3</v>
      </c>
      <c r="H94" s="40">
        <f>G94*$H$32</f>
        <v>10.39755888888889</v>
      </c>
    </row>
    <row r="95" spans="1:18" ht="14.25">
      <c r="B95" s="13" t="s">
        <v>22</v>
      </c>
      <c r="C95" s="145" t="s">
        <v>195</v>
      </c>
      <c r="D95" s="146"/>
      <c r="E95" s="146"/>
      <c r="F95" s="147"/>
      <c r="G95" s="26">
        <f>'Informações Gerais'!H45</f>
        <v>0</v>
      </c>
      <c r="H95" s="40">
        <f>G95*$H$32</f>
        <v>0</v>
      </c>
    </row>
    <row r="96" spans="1:18" ht="18.399999999999999" customHeight="1">
      <c r="B96" s="142" t="s">
        <v>9</v>
      </c>
      <c r="C96" s="142"/>
      <c r="D96" s="142"/>
      <c r="E96" s="142"/>
      <c r="F96" s="142"/>
      <c r="G96" s="10">
        <f>G93+G94+G95</f>
        <v>2.7266666666666668E-2</v>
      </c>
      <c r="H96" s="41">
        <f>H93+H94+H95</f>
        <v>46.600115249999995</v>
      </c>
    </row>
    <row r="97" spans="2:8" ht="18.399999999999999" customHeight="1">
      <c r="B97" s="150"/>
      <c r="C97" s="150"/>
      <c r="D97" s="150"/>
      <c r="E97" s="150"/>
      <c r="F97" s="150"/>
      <c r="G97" s="150"/>
      <c r="H97" s="150"/>
    </row>
    <row r="98" spans="2:8" ht="18.399999999999999" customHeight="1">
      <c r="B98" s="142" t="s">
        <v>74</v>
      </c>
      <c r="C98" s="142"/>
      <c r="D98" s="142" t="s">
        <v>75</v>
      </c>
      <c r="E98" s="142"/>
      <c r="F98" s="142"/>
      <c r="G98" s="142"/>
      <c r="H98" s="6" t="s">
        <v>62</v>
      </c>
    </row>
    <row r="99" spans="2:8" ht="14.25">
      <c r="B99" s="13" t="s">
        <v>6</v>
      </c>
      <c r="C99" s="158" t="s">
        <v>76</v>
      </c>
      <c r="D99" s="158"/>
      <c r="E99" s="158"/>
      <c r="F99" s="158"/>
      <c r="G99" s="20"/>
      <c r="H99" s="40">
        <f>(H32+H75+H83)/220*1*CCT!F17*'Informações Gerais'!H49</f>
        <v>0</v>
      </c>
    </row>
    <row r="100" spans="2:8" ht="18.399999999999999" customHeight="1">
      <c r="B100" s="149" t="s">
        <v>9</v>
      </c>
      <c r="C100" s="149"/>
      <c r="D100" s="149"/>
      <c r="E100" s="149"/>
      <c r="F100" s="149"/>
      <c r="G100" s="16"/>
      <c r="H100" s="41">
        <f>H99</f>
        <v>0</v>
      </c>
    </row>
    <row r="101" spans="2:8" ht="18.399999999999999" customHeight="1">
      <c r="B101" s="150"/>
      <c r="C101" s="150"/>
      <c r="D101" s="150"/>
      <c r="E101" s="150"/>
      <c r="F101" s="150"/>
      <c r="G101" s="150"/>
      <c r="H101" s="150"/>
    </row>
    <row r="102" spans="2:8" ht="18.399999999999999" customHeight="1">
      <c r="B102" s="142" t="s">
        <v>77</v>
      </c>
      <c r="C102" s="142"/>
      <c r="D102" s="142"/>
      <c r="E102" s="142"/>
      <c r="F102" s="142"/>
      <c r="G102" s="142"/>
      <c r="H102" s="142"/>
    </row>
    <row r="103" spans="2:8" ht="18.399999999999999" customHeight="1">
      <c r="B103" s="6">
        <v>4</v>
      </c>
      <c r="C103" s="142" t="s">
        <v>78</v>
      </c>
      <c r="D103" s="142"/>
      <c r="E103" s="142"/>
      <c r="F103" s="142"/>
      <c r="G103" s="142"/>
      <c r="H103" s="6" t="s">
        <v>62</v>
      </c>
    </row>
    <row r="104" spans="2:8" ht="14.25">
      <c r="B104" s="13" t="s">
        <v>79</v>
      </c>
      <c r="C104" s="145" t="s">
        <v>208</v>
      </c>
      <c r="D104" s="146"/>
      <c r="E104" s="146"/>
      <c r="F104" s="146"/>
      <c r="G104" s="147"/>
      <c r="H104" s="40">
        <f>H96</f>
        <v>46.600115249999995</v>
      </c>
    </row>
    <row r="105" spans="2:8" ht="14.25">
      <c r="B105" s="13" t="s">
        <v>80</v>
      </c>
      <c r="C105" s="145" t="s">
        <v>209</v>
      </c>
      <c r="D105" s="146"/>
      <c r="E105" s="146"/>
      <c r="F105" s="146"/>
      <c r="G105" s="179"/>
      <c r="H105" s="40">
        <f>H100</f>
        <v>0</v>
      </c>
    </row>
    <row r="106" spans="2:8" ht="18.399999999999999" customHeight="1">
      <c r="B106" s="149" t="s">
        <v>9</v>
      </c>
      <c r="C106" s="149"/>
      <c r="D106" s="149"/>
      <c r="E106" s="149"/>
      <c r="F106" s="149"/>
      <c r="G106" s="16"/>
      <c r="H106" s="41">
        <f>SUM(H104:H105)</f>
        <v>46.600115249999995</v>
      </c>
    </row>
    <row r="107" spans="2:8" ht="18.399999999999999" customHeight="1">
      <c r="B107" s="150"/>
      <c r="C107" s="150"/>
      <c r="D107" s="150"/>
      <c r="E107" s="150"/>
      <c r="F107" s="150"/>
      <c r="G107" s="150"/>
      <c r="H107" s="150"/>
    </row>
    <row r="108" spans="2:8" ht="18.399999999999999" customHeight="1">
      <c r="B108" s="142" t="s">
        <v>81</v>
      </c>
      <c r="C108" s="142"/>
      <c r="D108" s="142" t="s">
        <v>82</v>
      </c>
      <c r="E108" s="142"/>
      <c r="F108" s="142"/>
      <c r="G108" s="142"/>
      <c r="H108" s="6" t="s">
        <v>62</v>
      </c>
    </row>
    <row r="109" spans="2:8" ht="14.25">
      <c r="B109" s="13" t="s">
        <v>6</v>
      </c>
      <c r="C109" s="145" t="s">
        <v>207</v>
      </c>
      <c r="D109" s="146"/>
      <c r="E109" s="146"/>
      <c r="F109" s="146"/>
      <c r="G109" s="147"/>
      <c r="H109" s="40">
        <f>'Uniformes e EPIs'!F46</f>
        <v>185.13000000000002</v>
      </c>
    </row>
    <row r="110" spans="2:8" ht="14.25">
      <c r="B110" s="13" t="s">
        <v>8</v>
      </c>
      <c r="C110" s="145" t="s">
        <v>206</v>
      </c>
      <c r="D110" s="146"/>
      <c r="E110" s="146"/>
      <c r="F110" s="146"/>
      <c r="G110" s="179"/>
      <c r="H110" s="40">
        <f>'Material de Consumo'!F59</f>
        <v>573.64749999999992</v>
      </c>
    </row>
    <row r="111" spans="2:8" ht="14.25">
      <c r="B111" s="13" t="s">
        <v>13</v>
      </c>
      <c r="C111" s="145" t="s">
        <v>205</v>
      </c>
      <c r="D111" s="146"/>
      <c r="E111" s="146"/>
      <c r="F111" s="146"/>
      <c r="G111" s="147"/>
      <c r="H111" s="40">
        <f>Equipamentos!G45</f>
        <v>41.355979166666671</v>
      </c>
    </row>
    <row r="112" spans="2:8" ht="14.25">
      <c r="B112" s="13" t="s">
        <v>14</v>
      </c>
      <c r="C112" s="145" t="s">
        <v>131</v>
      </c>
      <c r="D112" s="146"/>
      <c r="E112" s="146"/>
      <c r="F112" s="146"/>
      <c r="G112" s="147"/>
      <c r="H112" s="40">
        <v>0</v>
      </c>
    </row>
    <row r="113" spans="1:10" ht="14.25">
      <c r="B113" s="106" t="s">
        <v>16</v>
      </c>
      <c r="C113" s="145" t="s">
        <v>132</v>
      </c>
      <c r="D113" s="146"/>
      <c r="E113" s="146"/>
      <c r="F113" s="146"/>
      <c r="G113" s="147"/>
      <c r="H113" s="40">
        <v>0</v>
      </c>
    </row>
    <row r="114" spans="1:10" ht="18.399999999999999" customHeight="1">
      <c r="B114" s="149" t="s">
        <v>9</v>
      </c>
      <c r="C114" s="149"/>
      <c r="D114" s="149"/>
      <c r="E114" s="149"/>
      <c r="F114" s="149"/>
      <c r="G114" s="14"/>
      <c r="H114" s="41">
        <f>SUM(H109:H113)</f>
        <v>800.13347916666658</v>
      </c>
    </row>
    <row r="115" spans="1:10" s="15" customFormat="1" ht="18.399999999999999" customHeight="1">
      <c r="A115" s="12"/>
      <c r="B115" s="150"/>
      <c r="C115" s="150"/>
      <c r="D115" s="150"/>
      <c r="E115" s="150"/>
      <c r="F115" s="150"/>
      <c r="G115" s="150"/>
      <c r="H115" s="150"/>
    </row>
    <row r="116" spans="1:10" ht="18.399999999999999" customHeight="1">
      <c r="B116" s="142" t="s">
        <v>83</v>
      </c>
      <c r="C116" s="142"/>
      <c r="D116" s="142" t="s">
        <v>84</v>
      </c>
      <c r="E116" s="142"/>
      <c r="F116" s="142"/>
      <c r="G116" s="6" t="s">
        <v>5</v>
      </c>
      <c r="H116" s="6" t="s">
        <v>62</v>
      </c>
    </row>
    <row r="117" spans="1:10" ht="14.25">
      <c r="B117" s="13" t="s">
        <v>6</v>
      </c>
      <c r="C117" s="148" t="s">
        <v>85</v>
      </c>
      <c r="D117" s="148"/>
      <c r="E117" s="148"/>
      <c r="F117" s="148"/>
      <c r="G117" s="9">
        <f>BDI!M8</f>
        <v>0.05</v>
      </c>
      <c r="H117" s="40">
        <f>H132*G117</f>
        <v>254.76452805277782</v>
      </c>
    </row>
    <row r="118" spans="1:10" ht="14.25">
      <c r="B118" s="13" t="s">
        <v>8</v>
      </c>
      <c r="C118" s="148" t="s">
        <v>86</v>
      </c>
      <c r="D118" s="148"/>
      <c r="E118" s="148"/>
      <c r="F118" s="148"/>
      <c r="G118" s="9">
        <f>BDI!M9</f>
        <v>0.1</v>
      </c>
      <c r="H118" s="40">
        <f>(H132+H117)*G118</f>
        <v>535.00550891083344</v>
      </c>
    </row>
    <row r="119" spans="1:10" ht="14.25">
      <c r="B119" s="13" t="s">
        <v>13</v>
      </c>
      <c r="C119" s="148" t="s">
        <v>87</v>
      </c>
      <c r="D119" s="148"/>
      <c r="E119" s="148"/>
      <c r="F119" s="148"/>
      <c r="G119" s="9">
        <f>BDI!M10</f>
        <v>0.14250000000000002</v>
      </c>
      <c r="H119" s="40">
        <f>H120+H121+H122+H123</f>
        <v>977.98383115770434</v>
      </c>
    </row>
    <row r="120" spans="1:10" ht="14.25">
      <c r="B120" s="7"/>
      <c r="C120" s="143" t="s">
        <v>88</v>
      </c>
      <c r="D120" s="143"/>
      <c r="E120" s="143"/>
      <c r="F120" s="143"/>
      <c r="G120" s="9">
        <f>BDI!M11</f>
        <v>1.6500000000000001E-2</v>
      </c>
      <c r="H120" s="40">
        <f>($H$132+$H$117+$H$118)/(1-$G$119)*G120</f>
        <v>113.24023308141841</v>
      </c>
      <c r="J120" s="24"/>
    </row>
    <row r="121" spans="1:10" ht="14.25">
      <c r="B121" s="7"/>
      <c r="C121" s="143" t="s">
        <v>89</v>
      </c>
      <c r="D121" s="143"/>
      <c r="E121" s="143"/>
      <c r="F121" s="143"/>
      <c r="G121" s="9">
        <f>BDI!M12</f>
        <v>7.5999999999999998E-2</v>
      </c>
      <c r="H121" s="40">
        <f t="shared" ref="H121:H123" si="3">($H$132+$H$117+$H$118)/(1-$G$119)*G121</f>
        <v>521.59137661744228</v>
      </c>
    </row>
    <row r="122" spans="1:10" ht="14.25">
      <c r="B122" s="7"/>
      <c r="C122" s="143" t="s">
        <v>116</v>
      </c>
      <c r="D122" s="143"/>
      <c r="E122" s="143"/>
      <c r="F122" s="143"/>
      <c r="G122" s="9">
        <f>BDI!M13</f>
        <v>0</v>
      </c>
      <c r="H122" s="40">
        <f t="shared" si="3"/>
        <v>0</v>
      </c>
    </row>
    <row r="123" spans="1:10" ht="14.25">
      <c r="B123" s="7"/>
      <c r="C123" s="143" t="s">
        <v>90</v>
      </c>
      <c r="D123" s="143"/>
      <c r="E123" s="143"/>
      <c r="F123" s="143"/>
      <c r="G123" s="9">
        <f>BDI!M14</f>
        <v>0.05</v>
      </c>
      <c r="H123" s="40">
        <f t="shared" si="3"/>
        <v>343.15222145884366</v>
      </c>
      <c r="J123" s="3"/>
    </row>
    <row r="124" spans="1:10" ht="18.399999999999999" customHeight="1">
      <c r="B124" s="142" t="s">
        <v>9</v>
      </c>
      <c r="C124" s="142"/>
      <c r="D124" s="142"/>
      <c r="E124" s="142"/>
      <c r="F124" s="142"/>
      <c r="G124" s="10">
        <f>BDI!M15</f>
        <v>0.34693877551020447</v>
      </c>
      <c r="H124" s="41">
        <f>H119+H117+H118</f>
        <v>1767.7538681213157</v>
      </c>
    </row>
    <row r="125" spans="1:10" s="15" customFormat="1" ht="18.399999999999999" customHeight="1">
      <c r="A125" s="12"/>
      <c r="B125" s="144"/>
      <c r="C125" s="144"/>
      <c r="D125" s="144"/>
      <c r="E125" s="144"/>
      <c r="F125" s="144"/>
      <c r="G125" s="144"/>
      <c r="H125" s="144"/>
    </row>
    <row r="126" spans="1:10" ht="18.399999999999999" customHeight="1">
      <c r="B126" s="142" t="s">
        <v>91</v>
      </c>
      <c r="C126" s="142"/>
      <c r="D126" s="142"/>
      <c r="E126" s="142"/>
      <c r="F126" s="142"/>
      <c r="G126" s="142"/>
      <c r="H126" s="6" t="s">
        <v>62</v>
      </c>
    </row>
    <row r="127" spans="1:10" ht="14.25">
      <c r="B127" s="13" t="s">
        <v>6</v>
      </c>
      <c r="C127" s="8" t="s">
        <v>92</v>
      </c>
      <c r="D127" s="145" t="s">
        <v>224</v>
      </c>
      <c r="E127" s="146"/>
      <c r="F127" s="146"/>
      <c r="G127" s="179"/>
      <c r="H127" s="40">
        <f>H32</f>
        <v>1743.69</v>
      </c>
    </row>
    <row r="128" spans="1:10" ht="14.25">
      <c r="B128" s="13" t="s">
        <v>8</v>
      </c>
      <c r="C128" s="8" t="s">
        <v>93</v>
      </c>
      <c r="D128" s="145" t="s">
        <v>225</v>
      </c>
      <c r="E128" s="146"/>
      <c r="F128" s="146"/>
      <c r="G128" s="147"/>
      <c r="H128" s="40">
        <f>H75</f>
        <v>2379.4294599999998</v>
      </c>
    </row>
    <row r="129" spans="2:8" ht="14.25">
      <c r="B129" s="13" t="s">
        <v>13</v>
      </c>
      <c r="C129" s="8" t="s">
        <v>94</v>
      </c>
      <c r="D129" s="145" t="s">
        <v>226</v>
      </c>
      <c r="E129" s="146"/>
      <c r="F129" s="146"/>
      <c r="G129" s="179"/>
      <c r="H129" s="40">
        <f>H83</f>
        <v>125.43750663888889</v>
      </c>
    </row>
    <row r="130" spans="2:8" ht="14.25">
      <c r="B130" s="13" t="s">
        <v>14</v>
      </c>
      <c r="C130" s="8" t="s">
        <v>95</v>
      </c>
      <c r="D130" s="145" t="s">
        <v>227</v>
      </c>
      <c r="E130" s="146"/>
      <c r="F130" s="146"/>
      <c r="G130" s="179"/>
      <c r="H130" s="40">
        <f>H106</f>
        <v>46.600115249999995</v>
      </c>
    </row>
    <row r="131" spans="2:8" ht="14.25">
      <c r="B131" s="13" t="s">
        <v>16</v>
      </c>
      <c r="C131" s="8" t="s">
        <v>96</v>
      </c>
      <c r="D131" s="145" t="s">
        <v>228</v>
      </c>
      <c r="E131" s="146"/>
      <c r="F131" s="146"/>
      <c r="G131" s="179"/>
      <c r="H131" s="40">
        <f>H114</f>
        <v>800.13347916666658</v>
      </c>
    </row>
    <row r="132" spans="2:8" ht="14.25">
      <c r="B132" s="142" t="s">
        <v>97</v>
      </c>
      <c r="C132" s="142"/>
      <c r="D132" s="142"/>
      <c r="E132" s="142"/>
      <c r="F132" s="142"/>
      <c r="G132" s="142"/>
      <c r="H132" s="41">
        <f>SUM(H127:H131)</f>
        <v>5095.2905610555563</v>
      </c>
    </row>
    <row r="133" spans="2:8" ht="14.25">
      <c r="B133" s="13" t="s">
        <v>18</v>
      </c>
      <c r="C133" s="7" t="s">
        <v>98</v>
      </c>
      <c r="D133" s="145" t="s">
        <v>229</v>
      </c>
      <c r="E133" s="146"/>
      <c r="F133" s="146"/>
      <c r="G133" s="179"/>
      <c r="H133" s="40">
        <f>H124</f>
        <v>1767.7538681213157</v>
      </c>
    </row>
    <row r="134" spans="2:8" ht="14.25">
      <c r="B134" s="142" t="s">
        <v>99</v>
      </c>
      <c r="C134" s="142"/>
      <c r="D134" s="142"/>
      <c r="E134" s="142"/>
      <c r="F134" s="142"/>
      <c r="G134" s="142"/>
      <c r="H134" s="41">
        <f>H132+H133</f>
        <v>6863.0444291768717</v>
      </c>
    </row>
  </sheetData>
  <mergeCells count="158">
    <mergeCell ref="C8:F8"/>
    <mergeCell ref="G8:H8"/>
    <mergeCell ref="C9:F9"/>
    <mergeCell ref="G9:H9"/>
    <mergeCell ref="C10:F10"/>
    <mergeCell ref="G10:H10"/>
    <mergeCell ref="B1:H2"/>
    <mergeCell ref="B5:H5"/>
    <mergeCell ref="B6:H6"/>
    <mergeCell ref="C7:F7"/>
    <mergeCell ref="G7:H7"/>
    <mergeCell ref="F4:G4"/>
    <mergeCell ref="B3:H3"/>
    <mergeCell ref="B4:E4"/>
    <mergeCell ref="B15:H15"/>
    <mergeCell ref="B16:H16"/>
    <mergeCell ref="B17:H17"/>
    <mergeCell ref="C18:F18"/>
    <mergeCell ref="G18:H18"/>
    <mergeCell ref="C19:F19"/>
    <mergeCell ref="G19:H19"/>
    <mergeCell ref="B11:H11"/>
    <mergeCell ref="B12:H12"/>
    <mergeCell ref="B13:D13"/>
    <mergeCell ref="E13:F13"/>
    <mergeCell ref="G13:H13"/>
    <mergeCell ref="B14:D14"/>
    <mergeCell ref="E14:F14"/>
    <mergeCell ref="G14:H14"/>
    <mergeCell ref="B23:H23"/>
    <mergeCell ref="B24:C24"/>
    <mergeCell ref="D24:G24"/>
    <mergeCell ref="C25:F25"/>
    <mergeCell ref="C26:F26"/>
    <mergeCell ref="C27:F27"/>
    <mergeCell ref="C20:F20"/>
    <mergeCell ref="G20:H20"/>
    <mergeCell ref="C21:F21"/>
    <mergeCell ref="G21:H21"/>
    <mergeCell ref="C22:F22"/>
    <mergeCell ref="G22:H22"/>
    <mergeCell ref="B35:H35"/>
    <mergeCell ref="B36:C36"/>
    <mergeCell ref="D36:F36"/>
    <mergeCell ref="C37:F37"/>
    <mergeCell ref="C38:F38"/>
    <mergeCell ref="B39:F39"/>
    <mergeCell ref="C28:F28"/>
    <mergeCell ref="C29:F29"/>
    <mergeCell ref="C31:F31"/>
    <mergeCell ref="B32:F32"/>
    <mergeCell ref="B33:H33"/>
    <mergeCell ref="B34:C34"/>
    <mergeCell ref="D34:H34"/>
    <mergeCell ref="C30:F30"/>
    <mergeCell ref="C45:F45"/>
    <mergeCell ref="C46:F46"/>
    <mergeCell ref="C47:F47"/>
    <mergeCell ref="C48:F48"/>
    <mergeCell ref="C49:F49"/>
    <mergeCell ref="C50:F50"/>
    <mergeCell ref="B40:H40"/>
    <mergeCell ref="B41:C41"/>
    <mergeCell ref="D41:F41"/>
    <mergeCell ref="C42:F42"/>
    <mergeCell ref="C43:F43"/>
    <mergeCell ref="C44:F44"/>
    <mergeCell ref="B51:F51"/>
    <mergeCell ref="B52:H52"/>
    <mergeCell ref="B53:C53"/>
    <mergeCell ref="D53:G53"/>
    <mergeCell ref="C54:G54"/>
    <mergeCell ref="C55:G55"/>
    <mergeCell ref="C59:G59"/>
    <mergeCell ref="C60:G60"/>
    <mergeCell ref="C61:G61"/>
    <mergeCell ref="C56:G56"/>
    <mergeCell ref="C57:G57"/>
    <mergeCell ref="C58:G58"/>
    <mergeCell ref="C62:G62"/>
    <mergeCell ref="B63:G63"/>
    <mergeCell ref="B64:H64"/>
    <mergeCell ref="B68:H68"/>
    <mergeCell ref="B65:C65"/>
    <mergeCell ref="D65:G65"/>
    <mergeCell ref="C66:G66"/>
    <mergeCell ref="B67:F67"/>
    <mergeCell ref="B76:H76"/>
    <mergeCell ref="B77:C77"/>
    <mergeCell ref="D77:F77"/>
    <mergeCell ref="C78:F78"/>
    <mergeCell ref="C79:F79"/>
    <mergeCell ref="C80:F80"/>
    <mergeCell ref="B69:H69"/>
    <mergeCell ref="C70:G70"/>
    <mergeCell ref="C71:F71"/>
    <mergeCell ref="C72:F72"/>
    <mergeCell ref="C73:F73"/>
    <mergeCell ref="B75:F75"/>
    <mergeCell ref="C74:F74"/>
    <mergeCell ref="B87:C87"/>
    <mergeCell ref="D87:F87"/>
    <mergeCell ref="C88:F88"/>
    <mergeCell ref="C89:F89"/>
    <mergeCell ref="C90:F90"/>
    <mergeCell ref="C91:F91"/>
    <mergeCell ref="C95:F95"/>
    <mergeCell ref="C81:F81"/>
    <mergeCell ref="C82:F82"/>
    <mergeCell ref="B83:F83"/>
    <mergeCell ref="B84:H84"/>
    <mergeCell ref="B85:C85"/>
    <mergeCell ref="D85:H85"/>
    <mergeCell ref="B134:G134"/>
    <mergeCell ref="C112:G112"/>
    <mergeCell ref="D128:G128"/>
    <mergeCell ref="B132:G132"/>
    <mergeCell ref="C121:F121"/>
    <mergeCell ref="C122:F122"/>
    <mergeCell ref="C123:F123"/>
    <mergeCell ref="B124:F124"/>
    <mergeCell ref="B125:H125"/>
    <mergeCell ref="B126:G126"/>
    <mergeCell ref="B116:C116"/>
    <mergeCell ref="D116:F116"/>
    <mergeCell ref="C117:F117"/>
    <mergeCell ref="C118:F118"/>
    <mergeCell ref="C119:F119"/>
    <mergeCell ref="C120:F120"/>
    <mergeCell ref="D127:G127"/>
    <mergeCell ref="D129:G129"/>
    <mergeCell ref="D130:G130"/>
    <mergeCell ref="C113:G113"/>
    <mergeCell ref="B114:F114"/>
    <mergeCell ref="B115:H115"/>
    <mergeCell ref="D131:G131"/>
    <mergeCell ref="D133:G133"/>
    <mergeCell ref="C99:F99"/>
    <mergeCell ref="B100:F100"/>
    <mergeCell ref="B101:H101"/>
    <mergeCell ref="B102:H102"/>
    <mergeCell ref="C103:G103"/>
    <mergeCell ref="C92:F92"/>
    <mergeCell ref="C111:G111"/>
    <mergeCell ref="C104:G104"/>
    <mergeCell ref="C105:G105"/>
    <mergeCell ref="C109:G109"/>
    <mergeCell ref="C110:G110"/>
    <mergeCell ref="B106:F106"/>
    <mergeCell ref="B107:H107"/>
    <mergeCell ref="B108:C108"/>
    <mergeCell ref="D108:G108"/>
    <mergeCell ref="C94:F94"/>
    <mergeCell ref="B96:F96"/>
    <mergeCell ref="B97:H97"/>
    <mergeCell ref="B98:C98"/>
    <mergeCell ref="D98:G98"/>
    <mergeCell ref="C93:F93"/>
  </mergeCells>
  <printOptions horizontalCentered="1"/>
  <pageMargins left="1.1023622047244099" right="0.70866141732283516" top="1.5640625000000001" bottom="0.95447916666666721" header="0.31496062992126012" footer="0.31496062992126012"/>
  <pageSetup paperSize="9" scale="60" fitToWidth="0" fitToHeight="0" orientation="portrait" useFirstPageNumber="1" r:id="rId1"/>
  <rowBreaks count="1" manualBreakCount="1">
    <brk id="75" max="7" man="1"/>
  </rowBreaks>
  <colBreaks count="1" manualBreakCount="1">
    <brk id="8" man="1"/>
  </colBreak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62C44-CDBF-4E8D-AA24-E8B993DD3BBE}">
  <dimension ref="A1:R134"/>
  <sheetViews>
    <sheetView view="pageBreakPreview" topLeftCell="A109" zoomScaleNormal="100" zoomScaleSheetLayoutView="100" workbookViewId="0">
      <selection activeCell="H112" sqref="H112"/>
    </sheetView>
  </sheetViews>
  <sheetFormatPr defaultColWidth="9.140625" defaultRowHeight="18.399999999999999" customHeight="1"/>
  <cols>
    <col min="1" max="1" width="1.7109375" style="12" customWidth="1"/>
    <col min="2" max="2" width="7" style="15" customWidth="1"/>
    <col min="3" max="3" width="38.85546875" style="15" customWidth="1"/>
    <col min="4" max="4" width="19.85546875" style="15" hidden="1" customWidth="1"/>
    <col min="5" max="5" width="23.140625" style="15" customWidth="1"/>
    <col min="6" max="6" width="37.140625" style="15" customWidth="1"/>
    <col min="7" max="7" width="13.85546875" style="15" customWidth="1"/>
    <col min="8" max="8" width="18.42578125" style="15" customWidth="1"/>
    <col min="9" max="9" width="9" style="2" customWidth="1"/>
    <col min="10" max="10" width="44.7109375" style="2" customWidth="1"/>
    <col min="11" max="11" width="9" style="2" customWidth="1"/>
    <col min="12" max="12" width="13.5703125" style="2" customWidth="1"/>
    <col min="13" max="1025" width="9" style="2" customWidth="1"/>
    <col min="1026" max="1026" width="9.140625" style="2" customWidth="1"/>
    <col min="1027" max="16384" width="9.140625" style="2"/>
  </cols>
  <sheetData>
    <row r="1" spans="2:8" ht="12.75" customHeight="1">
      <c r="B1" s="183" t="s">
        <v>34</v>
      </c>
      <c r="C1" s="183"/>
      <c r="D1" s="183"/>
      <c r="E1" s="183"/>
      <c r="F1" s="183"/>
      <c r="G1" s="183"/>
      <c r="H1" s="183"/>
    </row>
    <row r="2" spans="2:8" ht="12.75" customHeight="1">
      <c r="B2" s="183"/>
      <c r="C2" s="183"/>
      <c r="D2" s="183"/>
      <c r="E2" s="183"/>
      <c r="F2" s="183"/>
      <c r="G2" s="183"/>
      <c r="H2" s="183"/>
    </row>
    <row r="3" spans="2:8" ht="18.399999999999999" customHeight="1">
      <c r="B3" s="163" t="s">
        <v>127</v>
      </c>
      <c r="C3" s="163"/>
      <c r="D3" s="163"/>
      <c r="E3" s="163"/>
      <c r="F3" s="163"/>
      <c r="G3" s="163"/>
      <c r="H3" s="163"/>
    </row>
    <row r="4" spans="2:8" ht="18.399999999999999" customHeight="1">
      <c r="B4" s="163" t="s">
        <v>128</v>
      </c>
      <c r="C4" s="163"/>
      <c r="D4" s="163"/>
      <c r="E4" s="190"/>
      <c r="F4" s="169" t="s">
        <v>142</v>
      </c>
      <c r="G4" s="169"/>
      <c r="H4" s="103">
        <f>'Informações Gerais'!H5</f>
        <v>1518</v>
      </c>
    </row>
    <row r="5" spans="2:8" ht="18.399999999999999" customHeight="1">
      <c r="B5" s="144"/>
      <c r="C5" s="144"/>
      <c r="D5" s="144"/>
      <c r="E5" s="144"/>
      <c r="F5" s="144"/>
      <c r="G5" s="144"/>
      <c r="H5" s="144"/>
    </row>
    <row r="6" spans="2:8" ht="18.399999999999999" customHeight="1">
      <c r="B6" s="142" t="s">
        <v>35</v>
      </c>
      <c r="C6" s="142"/>
      <c r="D6" s="142"/>
      <c r="E6" s="142"/>
      <c r="F6" s="142"/>
      <c r="G6" s="142"/>
      <c r="H6" s="142"/>
    </row>
    <row r="7" spans="2:8" ht="14.25">
      <c r="B7" s="7" t="s">
        <v>6</v>
      </c>
      <c r="C7" s="158" t="s">
        <v>36</v>
      </c>
      <c r="D7" s="158"/>
      <c r="E7" s="158"/>
      <c r="F7" s="158"/>
      <c r="G7" s="189"/>
      <c r="H7" s="189"/>
    </row>
    <row r="8" spans="2:8" ht="14.25">
      <c r="B8" s="7" t="s">
        <v>8</v>
      </c>
      <c r="C8" s="158" t="s">
        <v>37</v>
      </c>
      <c r="D8" s="158"/>
      <c r="E8" s="158"/>
      <c r="F8" s="158"/>
      <c r="G8" s="164"/>
      <c r="H8" s="164"/>
    </row>
    <row r="9" spans="2:8" ht="14.25">
      <c r="B9" s="7" t="s">
        <v>13</v>
      </c>
      <c r="C9" s="158" t="s">
        <v>38</v>
      </c>
      <c r="D9" s="158"/>
      <c r="E9" s="158"/>
      <c r="F9" s="158"/>
      <c r="G9" s="164"/>
      <c r="H9" s="164"/>
    </row>
    <row r="10" spans="2:8" ht="14.25">
      <c r="B10" s="7" t="s">
        <v>14</v>
      </c>
      <c r="C10" s="158" t="s">
        <v>39</v>
      </c>
      <c r="D10" s="158"/>
      <c r="E10" s="158"/>
      <c r="F10" s="158"/>
      <c r="G10" s="164"/>
      <c r="H10" s="164"/>
    </row>
    <row r="11" spans="2:8" ht="18.399999999999999" customHeight="1">
      <c r="B11" s="150"/>
      <c r="C11" s="150"/>
      <c r="D11" s="150"/>
      <c r="E11" s="150"/>
      <c r="F11" s="150"/>
      <c r="G11" s="150"/>
      <c r="H11" s="150"/>
    </row>
    <row r="12" spans="2:8" ht="18.399999999999999" customHeight="1">
      <c r="B12" s="142" t="s">
        <v>40</v>
      </c>
      <c r="C12" s="142"/>
      <c r="D12" s="142"/>
      <c r="E12" s="142"/>
      <c r="F12" s="142"/>
      <c r="G12" s="142"/>
      <c r="H12" s="142"/>
    </row>
    <row r="13" spans="2:8" ht="14.25">
      <c r="B13" s="169" t="s">
        <v>41</v>
      </c>
      <c r="C13" s="169"/>
      <c r="D13" s="169"/>
      <c r="E13" s="170" t="s">
        <v>42</v>
      </c>
      <c r="F13" s="170"/>
      <c r="G13" s="169" t="s">
        <v>43</v>
      </c>
      <c r="H13" s="169"/>
    </row>
    <row r="14" spans="2:8" ht="14.25">
      <c r="B14" s="169" t="str">
        <f>Resumo!B6</f>
        <v>GARÇOM</v>
      </c>
      <c r="C14" s="169"/>
      <c r="D14" s="169"/>
      <c r="E14" s="170" t="s">
        <v>129</v>
      </c>
      <c r="F14" s="170"/>
      <c r="G14" s="171">
        <v>2</v>
      </c>
      <c r="H14" s="169"/>
    </row>
    <row r="15" spans="2:8" ht="18.399999999999999" customHeight="1">
      <c r="B15" s="150"/>
      <c r="C15" s="150"/>
      <c r="D15" s="150"/>
      <c r="E15" s="150"/>
      <c r="F15" s="150"/>
      <c r="G15" s="150"/>
      <c r="H15" s="150"/>
    </row>
    <row r="16" spans="2:8" ht="18.399999999999999" customHeight="1">
      <c r="B16" s="142" t="s">
        <v>44</v>
      </c>
      <c r="C16" s="142"/>
      <c r="D16" s="142"/>
      <c r="E16" s="142"/>
      <c r="F16" s="142"/>
      <c r="G16" s="142"/>
      <c r="H16" s="142"/>
    </row>
    <row r="17" spans="2:8" ht="18.399999999999999" customHeight="1">
      <c r="B17" s="172" t="s">
        <v>45</v>
      </c>
      <c r="C17" s="172"/>
      <c r="D17" s="172"/>
      <c r="E17" s="172"/>
      <c r="F17" s="172"/>
      <c r="G17" s="172"/>
      <c r="H17" s="172"/>
    </row>
    <row r="18" spans="2:8" ht="14.25">
      <c r="B18" s="7">
        <v>1</v>
      </c>
      <c r="C18" s="158" t="s">
        <v>46</v>
      </c>
      <c r="D18" s="158"/>
      <c r="E18" s="158"/>
      <c r="F18" s="158"/>
      <c r="G18" s="163"/>
      <c r="H18" s="164"/>
    </row>
    <row r="19" spans="2:8" ht="14.25">
      <c r="B19" s="7">
        <v>2</v>
      </c>
      <c r="C19" s="158" t="s">
        <v>47</v>
      </c>
      <c r="D19" s="158"/>
      <c r="E19" s="158"/>
      <c r="F19" s="158"/>
      <c r="G19" s="163"/>
      <c r="H19" s="164"/>
    </row>
    <row r="20" spans="2:8" ht="14.25">
      <c r="B20" s="7">
        <v>3</v>
      </c>
      <c r="C20" s="158" t="s">
        <v>48</v>
      </c>
      <c r="D20" s="158"/>
      <c r="E20" s="158"/>
      <c r="F20" s="158"/>
      <c r="G20" s="167">
        <f>CCT!G6</f>
        <v>2574.37</v>
      </c>
      <c r="H20" s="168"/>
    </row>
    <row r="21" spans="2:8" ht="14.25">
      <c r="B21" s="7">
        <v>4</v>
      </c>
      <c r="C21" s="158" t="s">
        <v>49</v>
      </c>
      <c r="D21" s="158"/>
      <c r="E21" s="158"/>
      <c r="F21" s="158"/>
      <c r="G21" s="163"/>
      <c r="H21" s="164"/>
    </row>
    <row r="22" spans="2:8" ht="14.25">
      <c r="B22" s="7">
        <v>5</v>
      </c>
      <c r="C22" s="158" t="s">
        <v>50</v>
      </c>
      <c r="D22" s="158"/>
      <c r="E22" s="158"/>
      <c r="F22" s="158"/>
      <c r="G22" s="165"/>
      <c r="H22" s="166"/>
    </row>
    <row r="23" spans="2:8" ht="18.399999999999999" customHeight="1">
      <c r="B23" s="150"/>
      <c r="C23" s="150"/>
      <c r="D23" s="150"/>
      <c r="E23" s="150"/>
      <c r="F23" s="150"/>
      <c r="G23" s="150"/>
      <c r="H23" s="150"/>
    </row>
    <row r="24" spans="2:8" ht="18.399999999999999" customHeight="1">
      <c r="B24" s="149" t="s">
        <v>51</v>
      </c>
      <c r="C24" s="154"/>
      <c r="D24" s="149" t="s">
        <v>52</v>
      </c>
      <c r="E24" s="153"/>
      <c r="F24" s="153"/>
      <c r="G24" s="154"/>
      <c r="H24" s="6" t="s">
        <v>53</v>
      </c>
    </row>
    <row r="25" spans="2:8" ht="14.25">
      <c r="B25" s="7" t="s">
        <v>6</v>
      </c>
      <c r="C25" s="158" t="s">
        <v>54</v>
      </c>
      <c r="D25" s="158"/>
      <c r="E25" s="158"/>
      <c r="F25" s="158"/>
      <c r="G25" s="29"/>
      <c r="H25" s="40">
        <f>G20</f>
        <v>2574.37</v>
      </c>
    </row>
    <row r="26" spans="2:8" ht="14.25">
      <c r="B26" s="7" t="s">
        <v>8</v>
      </c>
      <c r="C26" s="158" t="s">
        <v>55</v>
      </c>
      <c r="D26" s="158"/>
      <c r="E26" s="158"/>
      <c r="F26" s="158"/>
      <c r="G26" s="9">
        <f>'Informações Específicas'!G6</f>
        <v>0</v>
      </c>
      <c r="H26" s="40">
        <f>G26*H25</f>
        <v>0</v>
      </c>
    </row>
    <row r="27" spans="2:8" ht="14.25">
      <c r="B27" s="7" t="s">
        <v>13</v>
      </c>
      <c r="C27" s="158" t="s">
        <v>56</v>
      </c>
      <c r="D27" s="158"/>
      <c r="E27" s="158"/>
      <c r="F27" s="158"/>
      <c r="G27" s="9">
        <f>'Informações Específicas'!G7</f>
        <v>0</v>
      </c>
      <c r="H27" s="40">
        <f>H4*G27</f>
        <v>0</v>
      </c>
    </row>
    <row r="28" spans="2:8" ht="14.25">
      <c r="B28" s="7" t="s">
        <v>14</v>
      </c>
      <c r="C28" s="158" t="s">
        <v>57</v>
      </c>
      <c r="D28" s="158"/>
      <c r="E28" s="158"/>
      <c r="F28" s="158"/>
      <c r="G28" s="9">
        <f>'Informações Específicas'!G8</f>
        <v>0</v>
      </c>
      <c r="H28" s="40">
        <f>(H25+H26+H27)/220*G28*7*CCT!G17</f>
        <v>0</v>
      </c>
    </row>
    <row r="29" spans="2:8" ht="14.25">
      <c r="B29" s="7" t="s">
        <v>16</v>
      </c>
      <c r="C29" s="158" t="s">
        <v>58</v>
      </c>
      <c r="D29" s="158"/>
      <c r="E29" s="158"/>
      <c r="F29" s="158"/>
      <c r="G29" s="9">
        <f>'Informações Específicas'!G9</f>
        <v>0</v>
      </c>
      <c r="H29" s="40">
        <f>(H25+H26+H27)/220*G29*1*CCT!G17</f>
        <v>0</v>
      </c>
    </row>
    <row r="30" spans="2:8" ht="14.25">
      <c r="B30" s="7" t="s">
        <v>18</v>
      </c>
      <c r="C30" s="158" t="s">
        <v>184</v>
      </c>
      <c r="D30" s="158"/>
      <c r="E30" s="158"/>
      <c r="F30" s="158"/>
      <c r="G30" s="9">
        <f>'Informações Específicas'!G10</f>
        <v>0</v>
      </c>
      <c r="H30" s="40">
        <f>(H25+H26+H27+H28)/220*(1+G30)*CCT!G17*CCT!G18</f>
        <v>0</v>
      </c>
    </row>
    <row r="31" spans="2:8" ht="14.25">
      <c r="B31" s="7" t="s">
        <v>20</v>
      </c>
      <c r="C31" s="158" t="s">
        <v>59</v>
      </c>
      <c r="D31" s="158"/>
      <c r="E31" s="158"/>
      <c r="F31" s="158"/>
      <c r="G31" s="9">
        <f>'Informações Específicas'!G11</f>
        <v>0</v>
      </c>
      <c r="H31" s="40">
        <v>0</v>
      </c>
    </row>
    <row r="32" spans="2:8" ht="18.399999999999999" customHeight="1">
      <c r="B32" s="149" t="s">
        <v>9</v>
      </c>
      <c r="C32" s="149"/>
      <c r="D32" s="149"/>
      <c r="E32" s="149"/>
      <c r="F32" s="149"/>
      <c r="G32" s="10">
        <f>SUM(G26:G31)</f>
        <v>0</v>
      </c>
      <c r="H32" s="41">
        <f>SUM(H25:H31)</f>
        <v>2574.37</v>
      </c>
    </row>
    <row r="33" spans="1:8" s="15" customFormat="1" ht="18.399999999999999" customHeight="1">
      <c r="A33" s="12"/>
      <c r="B33" s="150"/>
      <c r="C33" s="150"/>
      <c r="D33" s="150"/>
      <c r="E33" s="150"/>
      <c r="F33" s="150"/>
      <c r="G33" s="150"/>
      <c r="H33" s="150"/>
    </row>
    <row r="34" spans="1:8" ht="18.399999999999999" customHeight="1">
      <c r="B34" s="142" t="s">
        <v>60</v>
      </c>
      <c r="C34" s="142"/>
      <c r="D34" s="142" t="s">
        <v>61</v>
      </c>
      <c r="E34" s="142"/>
      <c r="F34" s="142"/>
      <c r="G34" s="142"/>
      <c r="H34" s="142"/>
    </row>
    <row r="35" spans="1:8" ht="18.399999999999999" customHeight="1">
      <c r="B35" s="150"/>
      <c r="C35" s="150"/>
      <c r="D35" s="150"/>
      <c r="E35" s="150"/>
      <c r="F35" s="150"/>
      <c r="G35" s="150"/>
      <c r="H35" s="150"/>
    </row>
    <row r="36" spans="1:8" ht="18.399999999999999" customHeight="1">
      <c r="B36" s="142" t="s">
        <v>3</v>
      </c>
      <c r="C36" s="142"/>
      <c r="D36" s="142" t="s">
        <v>4</v>
      </c>
      <c r="E36" s="142"/>
      <c r="F36" s="142"/>
      <c r="G36" s="6" t="s">
        <v>5</v>
      </c>
      <c r="H36" s="6" t="s">
        <v>62</v>
      </c>
    </row>
    <row r="37" spans="1:8" ht="14.25">
      <c r="B37" s="7" t="s">
        <v>6</v>
      </c>
      <c r="C37" s="148" t="s">
        <v>7</v>
      </c>
      <c r="D37" s="148"/>
      <c r="E37" s="148"/>
      <c r="F37" s="148"/>
      <c r="G37" s="9">
        <f>'Informações Gerais'!H9</f>
        <v>8.3333333333333329E-2</v>
      </c>
      <c r="H37" s="40">
        <f>$H$32*G37</f>
        <v>214.53083333333331</v>
      </c>
    </row>
    <row r="38" spans="1:8" ht="14.25">
      <c r="B38" s="7" t="s">
        <v>8</v>
      </c>
      <c r="C38" s="148" t="s">
        <v>136</v>
      </c>
      <c r="D38" s="148"/>
      <c r="E38" s="148"/>
      <c r="F38" s="148"/>
      <c r="G38" s="9">
        <f>'Informações Gerais'!H10</f>
        <v>0.1111111111111111</v>
      </c>
      <c r="H38" s="40">
        <f>$H$32*G38</f>
        <v>286.04111111111109</v>
      </c>
    </row>
    <row r="39" spans="1:8" ht="18.399999999999999" customHeight="1">
      <c r="B39" s="142" t="s">
        <v>9</v>
      </c>
      <c r="C39" s="142"/>
      <c r="D39" s="142"/>
      <c r="E39" s="142"/>
      <c r="F39" s="142"/>
      <c r="G39" s="10">
        <f>SUM(G37:G38)</f>
        <v>0.19444444444444442</v>
      </c>
      <c r="H39" s="41">
        <f>SUM(H37:H38)</f>
        <v>500.5719444444444</v>
      </c>
    </row>
    <row r="40" spans="1:8" ht="18.399999999999999" customHeight="1">
      <c r="B40" s="150"/>
      <c r="C40" s="150"/>
      <c r="D40" s="150"/>
      <c r="E40" s="150"/>
      <c r="F40" s="150"/>
      <c r="G40" s="150"/>
      <c r="H40" s="150"/>
    </row>
    <row r="41" spans="1:8" ht="24" customHeight="1">
      <c r="B41" s="142" t="s">
        <v>10</v>
      </c>
      <c r="C41" s="142"/>
      <c r="D41" s="142" t="s">
        <v>11</v>
      </c>
      <c r="E41" s="142"/>
      <c r="F41" s="142"/>
      <c r="G41" s="6" t="s">
        <v>5</v>
      </c>
      <c r="H41" s="6" t="s">
        <v>62</v>
      </c>
    </row>
    <row r="42" spans="1:8" ht="14.25">
      <c r="B42" s="7" t="s">
        <v>6</v>
      </c>
      <c r="C42" s="148" t="s">
        <v>12</v>
      </c>
      <c r="D42" s="148"/>
      <c r="E42" s="148"/>
      <c r="F42" s="148"/>
      <c r="G42" s="9">
        <f>'Informações Gerais'!H14</f>
        <v>0.2</v>
      </c>
      <c r="H42" s="40">
        <f>(H32+H39)*G42</f>
        <v>614.98838888888895</v>
      </c>
    </row>
    <row r="43" spans="1:8" ht="14.25">
      <c r="B43" s="7" t="s">
        <v>138</v>
      </c>
      <c r="C43" s="145" t="s">
        <v>139</v>
      </c>
      <c r="D43" s="146"/>
      <c r="E43" s="146"/>
      <c r="F43" s="147"/>
      <c r="G43" s="9">
        <f>'Informações Gerais'!H15</f>
        <v>0</v>
      </c>
      <c r="H43" s="40">
        <f>(H32+H38)*G43</f>
        <v>0</v>
      </c>
    </row>
    <row r="44" spans="1:8" ht="14.25">
      <c r="B44" s="7" t="s">
        <v>8</v>
      </c>
      <c r="C44" s="148" t="s">
        <v>121</v>
      </c>
      <c r="D44" s="148"/>
      <c r="E44" s="148"/>
      <c r="F44" s="148"/>
      <c r="G44" s="9">
        <f>'Informações Gerais'!H16</f>
        <v>2.5000000000000001E-2</v>
      </c>
      <c r="H44" s="40">
        <f>($H$32+$H$39)*G44</f>
        <v>76.873548611111119</v>
      </c>
    </row>
    <row r="45" spans="1:8" ht="14.25">
      <c r="B45" s="7" t="s">
        <v>13</v>
      </c>
      <c r="C45" s="148" t="s">
        <v>122</v>
      </c>
      <c r="D45" s="148"/>
      <c r="E45" s="148"/>
      <c r="F45" s="148"/>
      <c r="G45" s="9">
        <f>'Informações Gerais'!H17</f>
        <v>0.03</v>
      </c>
      <c r="H45" s="40">
        <f t="shared" ref="H45:H50" si="0">($H$32+$H$39)*G45</f>
        <v>92.248258333333325</v>
      </c>
    </row>
    <row r="46" spans="1:8" ht="14.25">
      <c r="B46" s="7" t="s">
        <v>14</v>
      </c>
      <c r="C46" s="148" t="s">
        <v>15</v>
      </c>
      <c r="D46" s="148"/>
      <c r="E46" s="148"/>
      <c r="F46" s="148"/>
      <c r="G46" s="9">
        <f>'Informações Gerais'!H18</f>
        <v>1.4999999999999999E-2</v>
      </c>
      <c r="H46" s="40">
        <f t="shared" si="0"/>
        <v>46.124129166666663</v>
      </c>
    </row>
    <row r="47" spans="1:8" ht="14.25">
      <c r="B47" s="7" t="s">
        <v>16</v>
      </c>
      <c r="C47" s="148" t="s">
        <v>17</v>
      </c>
      <c r="D47" s="148"/>
      <c r="E47" s="148"/>
      <c r="F47" s="148"/>
      <c r="G47" s="9">
        <f>'Informações Gerais'!H19</f>
        <v>0.01</v>
      </c>
      <c r="H47" s="40">
        <f t="shared" si="0"/>
        <v>30.749419444444442</v>
      </c>
    </row>
    <row r="48" spans="1:8" ht="14.25">
      <c r="B48" s="7" t="s">
        <v>18</v>
      </c>
      <c r="C48" s="148" t="s">
        <v>19</v>
      </c>
      <c r="D48" s="148"/>
      <c r="E48" s="148"/>
      <c r="F48" s="148"/>
      <c r="G48" s="9">
        <f>'Informações Gerais'!H20</f>
        <v>6.0000000000000001E-3</v>
      </c>
      <c r="H48" s="40">
        <f t="shared" si="0"/>
        <v>18.449651666666668</v>
      </c>
    </row>
    <row r="49" spans="2:8" ht="14.25">
      <c r="B49" s="7" t="s">
        <v>20</v>
      </c>
      <c r="C49" s="148" t="s">
        <v>21</v>
      </c>
      <c r="D49" s="148"/>
      <c r="E49" s="148"/>
      <c r="F49" s="148"/>
      <c r="G49" s="9">
        <f>'Informações Gerais'!H21</f>
        <v>2E-3</v>
      </c>
      <c r="H49" s="40">
        <f t="shared" si="0"/>
        <v>6.1498838888888887</v>
      </c>
    </row>
    <row r="50" spans="2:8" ht="14.25">
      <c r="B50" s="7" t="s">
        <v>22</v>
      </c>
      <c r="C50" s="148" t="s">
        <v>23</v>
      </c>
      <c r="D50" s="148"/>
      <c r="E50" s="148"/>
      <c r="F50" s="148"/>
      <c r="G50" s="9">
        <f>'Informações Gerais'!H22</f>
        <v>0.08</v>
      </c>
      <c r="H50" s="40">
        <f t="shared" si="0"/>
        <v>245.99535555555553</v>
      </c>
    </row>
    <row r="51" spans="2:8" ht="18.399999999999999" customHeight="1">
      <c r="B51" s="142" t="s">
        <v>9</v>
      </c>
      <c r="C51" s="142"/>
      <c r="D51" s="142"/>
      <c r="E51" s="142"/>
      <c r="F51" s="142"/>
      <c r="G51" s="10">
        <f>SUM(G42:G50)</f>
        <v>0.36800000000000005</v>
      </c>
      <c r="H51" s="41">
        <f>SUM(H42:H50)</f>
        <v>1131.5786355555556</v>
      </c>
    </row>
    <row r="52" spans="2:8" ht="18.399999999999999" customHeight="1">
      <c r="B52" s="150"/>
      <c r="C52" s="150"/>
      <c r="D52" s="150"/>
      <c r="E52" s="150"/>
      <c r="F52" s="150"/>
      <c r="G52" s="150"/>
      <c r="H52" s="150"/>
    </row>
    <row r="53" spans="2:8" ht="18.399999999999999" customHeight="1">
      <c r="B53" s="142" t="s">
        <v>63</v>
      </c>
      <c r="C53" s="142"/>
      <c r="D53" s="149" t="s">
        <v>64</v>
      </c>
      <c r="E53" s="153"/>
      <c r="F53" s="153"/>
      <c r="G53" s="154"/>
      <c r="H53" s="6" t="s">
        <v>62</v>
      </c>
    </row>
    <row r="54" spans="2:8" ht="14.25">
      <c r="B54" s="7" t="s">
        <v>6</v>
      </c>
      <c r="C54" s="159" t="s">
        <v>215</v>
      </c>
      <c r="D54" s="160"/>
      <c r="E54" s="160"/>
      <c r="F54" s="160"/>
      <c r="G54" s="161"/>
      <c r="H54" s="40">
        <f>ROUND(IF((CCT!G7*2*CCT!G17)-(CCT!G6*CCT!D22)&gt;=0,(CCT!G7*2*CCT!G17)-(CCT!G6*CCT!D22),0),2)</f>
        <v>76.540000000000006</v>
      </c>
    </row>
    <row r="55" spans="2:8" ht="14.25">
      <c r="B55" s="7" t="s">
        <v>8</v>
      </c>
      <c r="C55" s="159" t="s">
        <v>216</v>
      </c>
      <c r="D55" s="160"/>
      <c r="E55" s="160"/>
      <c r="F55" s="160"/>
      <c r="G55" s="161"/>
      <c r="H55" s="40">
        <f>CCT!G8-(CCT!G8*CCT!D23)</f>
        <v>930.3</v>
      </c>
    </row>
    <row r="56" spans="2:8" ht="14.25">
      <c r="B56" s="7" t="s">
        <v>13</v>
      </c>
      <c r="C56" s="159" t="s">
        <v>217</v>
      </c>
      <c r="D56" s="160"/>
      <c r="E56" s="160"/>
      <c r="F56" s="160"/>
      <c r="G56" s="161"/>
      <c r="H56" s="40">
        <f>CCT!G9</f>
        <v>200</v>
      </c>
    </row>
    <row r="57" spans="2:8" ht="14.25">
      <c r="B57" s="7" t="s">
        <v>14</v>
      </c>
      <c r="C57" s="159" t="s">
        <v>218</v>
      </c>
      <c r="D57" s="181"/>
      <c r="E57" s="181"/>
      <c r="F57" s="181"/>
      <c r="G57" s="161"/>
      <c r="H57" s="40">
        <f>CCT!G10</f>
        <v>13.64</v>
      </c>
    </row>
    <row r="58" spans="2:8" ht="14.25">
      <c r="B58" s="7" t="s">
        <v>16</v>
      </c>
      <c r="C58" s="159" t="s">
        <v>219</v>
      </c>
      <c r="D58" s="160"/>
      <c r="E58" s="160"/>
      <c r="F58" s="160"/>
      <c r="G58" s="161"/>
      <c r="H58" s="40">
        <f>CCT!G11</f>
        <v>3.61</v>
      </c>
    </row>
    <row r="59" spans="2:8" ht="14.25">
      <c r="B59" s="7" t="s">
        <v>18</v>
      </c>
      <c r="C59" s="145" t="s">
        <v>222</v>
      </c>
      <c r="D59" s="146"/>
      <c r="E59" s="146"/>
      <c r="F59" s="146"/>
      <c r="G59" s="147"/>
      <c r="H59" s="40">
        <f>CCT!G12</f>
        <v>0</v>
      </c>
    </row>
    <row r="60" spans="2:8" ht="14.25">
      <c r="B60" s="7" t="s">
        <v>20</v>
      </c>
      <c r="C60" s="145" t="s">
        <v>132</v>
      </c>
      <c r="D60" s="180"/>
      <c r="E60" s="180"/>
      <c r="F60" s="180"/>
      <c r="G60" s="179"/>
      <c r="H60" s="40">
        <f>CCT!G13</f>
        <v>0</v>
      </c>
    </row>
    <row r="61" spans="2:8" ht="14.25">
      <c r="B61" s="7" t="s">
        <v>22</v>
      </c>
      <c r="C61" s="145" t="s">
        <v>132</v>
      </c>
      <c r="D61" s="180"/>
      <c r="E61" s="180"/>
      <c r="F61" s="180"/>
      <c r="G61" s="179"/>
      <c r="H61" s="40">
        <f>CCT!G14</f>
        <v>0</v>
      </c>
    </row>
    <row r="62" spans="2:8" ht="14.25">
      <c r="B62" s="7" t="s">
        <v>123</v>
      </c>
      <c r="C62" s="159" t="s">
        <v>132</v>
      </c>
      <c r="D62" s="160"/>
      <c r="E62" s="160"/>
      <c r="F62" s="160"/>
      <c r="G62" s="161"/>
      <c r="H62" s="40">
        <f>CCT!G15</f>
        <v>0</v>
      </c>
    </row>
    <row r="63" spans="2:8" ht="18.399999999999999" customHeight="1">
      <c r="B63" s="149" t="s">
        <v>9</v>
      </c>
      <c r="C63" s="153"/>
      <c r="D63" s="153"/>
      <c r="E63" s="153"/>
      <c r="F63" s="153"/>
      <c r="G63" s="162"/>
      <c r="H63" s="41">
        <f>SUM(H54:H62)</f>
        <v>1224.0899999999999</v>
      </c>
    </row>
    <row r="64" spans="2:8" ht="18.399999999999999" customHeight="1">
      <c r="B64" s="150"/>
      <c r="C64" s="150"/>
      <c r="D64" s="150"/>
      <c r="E64" s="150"/>
      <c r="F64" s="150"/>
      <c r="G64" s="150"/>
      <c r="H64" s="150"/>
    </row>
    <row r="65" spans="1:18" ht="18.399999999999999" customHeight="1">
      <c r="B65" s="142" t="s">
        <v>196</v>
      </c>
      <c r="C65" s="142"/>
      <c r="D65" s="142" t="s">
        <v>203</v>
      </c>
      <c r="E65" s="142"/>
      <c r="F65" s="142"/>
      <c r="G65" s="142"/>
      <c r="H65" s="6" t="s">
        <v>62</v>
      </c>
    </row>
    <row r="66" spans="1:18" ht="18.399999999999999" customHeight="1">
      <c r="B66" s="13" t="s">
        <v>6</v>
      </c>
      <c r="C66" s="145" t="s">
        <v>214</v>
      </c>
      <c r="D66" s="146"/>
      <c r="E66" s="146"/>
      <c r="F66" s="146"/>
      <c r="G66" s="147"/>
      <c r="H66" s="40">
        <f>H32/220*(1+50%)*CCT!G19*CCT!G17*'Informações Gerais'!H26</f>
        <v>0</v>
      </c>
    </row>
    <row r="67" spans="1:18" ht="18.399999999999999" customHeight="1">
      <c r="B67" s="149" t="s">
        <v>9</v>
      </c>
      <c r="C67" s="149"/>
      <c r="D67" s="149"/>
      <c r="E67" s="149"/>
      <c r="F67" s="149"/>
      <c r="G67" s="16"/>
      <c r="H67" s="41">
        <f>H66</f>
        <v>0</v>
      </c>
    </row>
    <row r="68" spans="1:18" ht="18.399999999999999" customHeight="1">
      <c r="B68" s="182"/>
      <c r="C68" s="182"/>
      <c r="D68" s="182"/>
      <c r="E68" s="182"/>
      <c r="F68" s="182"/>
      <c r="G68" s="182"/>
      <c r="H68" s="182"/>
    </row>
    <row r="69" spans="1:18" ht="18.399999999999999" customHeight="1">
      <c r="B69" s="142" t="s">
        <v>65</v>
      </c>
      <c r="C69" s="142"/>
      <c r="D69" s="142"/>
      <c r="E69" s="142"/>
      <c r="F69" s="142"/>
      <c r="G69" s="142"/>
      <c r="H69" s="142"/>
    </row>
    <row r="70" spans="1:18" ht="18.399999999999999" customHeight="1">
      <c r="B70" s="6">
        <v>2</v>
      </c>
      <c r="C70" s="142" t="s">
        <v>66</v>
      </c>
      <c r="D70" s="142"/>
      <c r="E70" s="142"/>
      <c r="F70" s="142"/>
      <c r="G70" s="142"/>
      <c r="H70" s="6" t="s">
        <v>62</v>
      </c>
    </row>
    <row r="71" spans="1:18" ht="14.25" customHeight="1">
      <c r="B71" s="7" t="s">
        <v>67</v>
      </c>
      <c r="C71" s="158" t="s">
        <v>68</v>
      </c>
      <c r="D71" s="158"/>
      <c r="E71" s="158"/>
      <c r="F71" s="158"/>
      <c r="G71" s="9">
        <f>G39</f>
        <v>0.19444444444444442</v>
      </c>
      <c r="H71" s="40">
        <f>H39</f>
        <v>500.5719444444444</v>
      </c>
    </row>
    <row r="72" spans="1:18" ht="14.25">
      <c r="B72" s="7" t="s">
        <v>69</v>
      </c>
      <c r="C72" s="158" t="s">
        <v>70</v>
      </c>
      <c r="D72" s="158"/>
      <c r="E72" s="158"/>
      <c r="F72" s="158"/>
      <c r="G72" s="98">
        <f>G51</f>
        <v>0.36800000000000005</v>
      </c>
      <c r="H72" s="40">
        <f>H51</f>
        <v>1131.5786355555556</v>
      </c>
    </row>
    <row r="73" spans="1:18" ht="14.25">
      <c r="B73" s="7" t="s">
        <v>71</v>
      </c>
      <c r="C73" s="158" t="s">
        <v>64</v>
      </c>
      <c r="D73" s="158"/>
      <c r="E73" s="158"/>
      <c r="F73" s="158"/>
      <c r="G73" s="9">
        <v>0</v>
      </c>
      <c r="H73" s="40">
        <f>H63</f>
        <v>1224.0899999999999</v>
      </c>
    </row>
    <row r="74" spans="1:18" ht="14.25">
      <c r="B74" s="47" t="s">
        <v>200</v>
      </c>
      <c r="C74" s="145" t="s">
        <v>214</v>
      </c>
      <c r="D74" s="146"/>
      <c r="E74" s="146"/>
      <c r="F74" s="147"/>
      <c r="G74" s="9">
        <v>0</v>
      </c>
      <c r="H74" s="40">
        <f>H67</f>
        <v>0</v>
      </c>
    </row>
    <row r="75" spans="1:18" ht="18.399999999999999" customHeight="1">
      <c r="B75" s="149" t="s">
        <v>9</v>
      </c>
      <c r="C75" s="149"/>
      <c r="D75" s="149"/>
      <c r="E75" s="149"/>
      <c r="F75" s="149"/>
      <c r="G75" s="10">
        <f>SUM(G71:G74)</f>
        <v>0.56244444444444452</v>
      </c>
      <c r="H75" s="41">
        <f>SUM(H71:H74)</f>
        <v>2856.2405799999997</v>
      </c>
    </row>
    <row r="76" spans="1:18" s="15" customFormat="1" ht="18.399999999999999" customHeight="1">
      <c r="A76" s="12"/>
      <c r="B76" s="144"/>
      <c r="C76" s="144"/>
      <c r="D76" s="144"/>
      <c r="E76" s="144"/>
      <c r="F76" s="144"/>
      <c r="G76" s="144"/>
      <c r="H76" s="144"/>
    </row>
    <row r="77" spans="1:18" ht="18.399999999999999" customHeight="1">
      <c r="B77" s="142" t="s">
        <v>24</v>
      </c>
      <c r="C77" s="142"/>
      <c r="D77" s="142" t="s">
        <v>25</v>
      </c>
      <c r="E77" s="142"/>
      <c r="F77" s="142"/>
      <c r="G77" s="6" t="s">
        <v>5</v>
      </c>
      <c r="H77" s="6" t="s">
        <v>62</v>
      </c>
    </row>
    <row r="78" spans="1:18" ht="14.25">
      <c r="B78" s="7" t="s">
        <v>6</v>
      </c>
      <c r="C78" s="148" t="s">
        <v>26</v>
      </c>
      <c r="D78" s="148"/>
      <c r="E78" s="148"/>
      <c r="F78" s="148"/>
      <c r="G78" s="25">
        <f>'Informações Gerais'!H30</f>
        <v>4.1666666666666666E-3</v>
      </c>
      <c r="H78" s="40">
        <f>(H32+H39)*G78</f>
        <v>12.812258101851851</v>
      </c>
      <c r="L78" s="17"/>
      <c r="M78" s="17"/>
      <c r="N78" s="17"/>
      <c r="O78" s="17"/>
      <c r="P78" s="17"/>
      <c r="Q78" s="17"/>
      <c r="R78" s="17"/>
    </row>
    <row r="79" spans="1:18" ht="14.25">
      <c r="B79" s="7" t="s">
        <v>8</v>
      </c>
      <c r="C79" s="148" t="s">
        <v>125</v>
      </c>
      <c r="D79" s="148"/>
      <c r="E79" s="148"/>
      <c r="F79" s="148"/>
      <c r="G79" s="25">
        <f>'Informações Gerais'!H31</f>
        <v>3.3333333333333332E-4</v>
      </c>
      <c r="H79" s="40">
        <f>(H32+H37)*G79</f>
        <v>0.92963361111111098</v>
      </c>
      <c r="K79" s="18"/>
      <c r="L79" s="17"/>
      <c r="M79" s="17"/>
      <c r="N79" s="17"/>
      <c r="O79" s="17"/>
      <c r="P79" s="17"/>
      <c r="Q79" s="17"/>
      <c r="R79" s="17"/>
    </row>
    <row r="80" spans="1:18" ht="14.25">
      <c r="B80" s="7" t="s">
        <v>13</v>
      </c>
      <c r="C80" s="148" t="s">
        <v>27</v>
      </c>
      <c r="D80" s="148"/>
      <c r="E80" s="148"/>
      <c r="F80" s="148"/>
      <c r="G80" s="25">
        <f>'Informações Gerais'!H32</f>
        <v>1.9444444444444445E-2</v>
      </c>
      <c r="H80" s="40">
        <f>$H$32*G80</f>
        <v>50.057194444444441</v>
      </c>
      <c r="L80" s="17"/>
      <c r="M80" s="17"/>
      <c r="N80" s="17"/>
      <c r="O80" s="17"/>
      <c r="P80" s="17"/>
      <c r="Q80" s="17"/>
      <c r="R80" s="17"/>
    </row>
    <row r="81" spans="1:18" ht="14.25">
      <c r="B81" s="7" t="s">
        <v>14</v>
      </c>
      <c r="C81" s="148" t="s">
        <v>220</v>
      </c>
      <c r="D81" s="148"/>
      <c r="E81" s="148"/>
      <c r="F81" s="148"/>
      <c r="G81" s="25">
        <f>'Informações Gerais'!H33</f>
        <v>7.1555555555555565E-3</v>
      </c>
      <c r="H81" s="40">
        <f t="shared" ref="H81:H82" si="1">$H$32*G81</f>
        <v>18.421047555555557</v>
      </c>
      <c r="L81" s="17"/>
      <c r="M81" s="17"/>
      <c r="N81" s="17"/>
      <c r="O81" s="17"/>
      <c r="P81" s="17"/>
      <c r="Q81" s="17"/>
      <c r="R81" s="17"/>
    </row>
    <row r="82" spans="1:18" ht="14.25">
      <c r="B82" s="7" t="s">
        <v>16</v>
      </c>
      <c r="C82" s="148" t="s">
        <v>124</v>
      </c>
      <c r="D82" s="148"/>
      <c r="E82" s="148"/>
      <c r="F82" s="148"/>
      <c r="G82" s="25">
        <f>'Informações Gerais'!H34</f>
        <v>0.04</v>
      </c>
      <c r="H82" s="40">
        <f t="shared" si="1"/>
        <v>102.9748</v>
      </c>
      <c r="J82" s="19"/>
      <c r="L82" s="17"/>
      <c r="M82" s="17"/>
      <c r="N82" s="17"/>
      <c r="O82" s="17"/>
      <c r="P82" s="17"/>
      <c r="Q82" s="17"/>
      <c r="R82" s="17"/>
    </row>
    <row r="83" spans="1:18" ht="18.399999999999999" customHeight="1">
      <c r="B83" s="142" t="s">
        <v>9</v>
      </c>
      <c r="C83" s="142"/>
      <c r="D83" s="142"/>
      <c r="E83" s="142"/>
      <c r="F83" s="142"/>
      <c r="G83" s="10">
        <f>SUM(G78:G82)</f>
        <v>7.1099999999999997E-2</v>
      </c>
      <c r="H83" s="41">
        <f>SUM(H78:H82)</f>
        <v>185.19493371296295</v>
      </c>
    </row>
    <row r="84" spans="1:18" ht="18.399999999999999" customHeight="1">
      <c r="B84" s="150"/>
      <c r="C84" s="150"/>
      <c r="D84" s="150"/>
      <c r="E84" s="150"/>
      <c r="F84" s="150"/>
      <c r="G84" s="150"/>
      <c r="H84" s="150"/>
    </row>
    <row r="85" spans="1:18" ht="18.399999999999999" customHeight="1">
      <c r="B85" s="142" t="s">
        <v>72</v>
      </c>
      <c r="C85" s="142"/>
      <c r="D85" s="142" t="s">
        <v>73</v>
      </c>
      <c r="E85" s="142"/>
      <c r="F85" s="142"/>
      <c r="G85" s="142"/>
      <c r="H85" s="142"/>
    </row>
    <row r="86" spans="1:18" s="15" customFormat="1" ht="18.399999999999999" customHeight="1">
      <c r="A86" s="12"/>
      <c r="B86" s="11"/>
      <c r="C86" s="11"/>
      <c r="D86" s="11"/>
      <c r="E86" s="11"/>
      <c r="F86" s="11"/>
      <c r="G86" s="11"/>
      <c r="H86" s="11"/>
    </row>
    <row r="87" spans="1:18" ht="18.399999999999999" customHeight="1">
      <c r="B87" s="142" t="s">
        <v>28</v>
      </c>
      <c r="C87" s="142"/>
      <c r="D87" s="142" t="s">
        <v>29</v>
      </c>
      <c r="E87" s="142"/>
      <c r="F87" s="142"/>
      <c r="G87" s="6" t="s">
        <v>5</v>
      </c>
      <c r="H87" s="6" t="s">
        <v>62</v>
      </c>
    </row>
    <row r="88" spans="1:18" ht="14.25" customHeight="1">
      <c r="B88" s="7" t="s">
        <v>6</v>
      </c>
      <c r="C88" s="148" t="s">
        <v>148</v>
      </c>
      <c r="D88" s="148"/>
      <c r="E88" s="148"/>
      <c r="F88" s="148"/>
      <c r="G88" s="26">
        <f>'Informações Gerais'!H38</f>
        <v>1.6203703703703703E-2</v>
      </c>
      <c r="H88" s="40">
        <f>$H$32*G88</f>
        <v>41.7143287037037</v>
      </c>
    </row>
    <row r="89" spans="1:18" ht="14.25" customHeight="1">
      <c r="B89" s="7" t="s">
        <v>8</v>
      </c>
      <c r="C89" s="148" t="s">
        <v>30</v>
      </c>
      <c r="D89" s="148"/>
      <c r="E89" s="148"/>
      <c r="F89" s="148"/>
      <c r="G89" s="26">
        <f>'Informações Gerais'!H39</f>
        <v>2.8E-3</v>
      </c>
      <c r="H89" s="40">
        <f t="shared" ref="H89:H90" si="2">$H$32*G89</f>
        <v>7.2082359999999994</v>
      </c>
    </row>
    <row r="90" spans="1:18" ht="14.25" customHeight="1">
      <c r="B90" s="7" t="s">
        <v>13</v>
      </c>
      <c r="C90" s="148" t="s">
        <v>31</v>
      </c>
      <c r="D90" s="148"/>
      <c r="E90" s="148"/>
      <c r="F90" s="148"/>
      <c r="G90" s="26">
        <f>'Informações Gerais'!H40</f>
        <v>2.0000000000000001E-4</v>
      </c>
      <c r="H90" s="40">
        <f t="shared" si="2"/>
        <v>0.51487400000000005</v>
      </c>
    </row>
    <row r="91" spans="1:18" ht="14.25" customHeight="1">
      <c r="B91" s="7" t="s">
        <v>14</v>
      </c>
      <c r="C91" s="148" t="s">
        <v>32</v>
      </c>
      <c r="D91" s="148"/>
      <c r="E91" s="148"/>
      <c r="F91" s="148"/>
      <c r="G91" s="26">
        <f>'Informações Gerais'!H41</f>
        <v>1.5E-3</v>
      </c>
      <c r="H91" s="40">
        <f>$H$32*G91</f>
        <v>3.8615550000000001</v>
      </c>
    </row>
    <row r="92" spans="1:18" ht="14.25" customHeight="1">
      <c r="B92" s="7" t="s">
        <v>16</v>
      </c>
      <c r="C92" s="148" t="s">
        <v>33</v>
      </c>
      <c r="D92" s="148"/>
      <c r="E92" s="148"/>
      <c r="F92" s="148"/>
      <c r="G92" s="26">
        <f>'Informações Gerais'!H42</f>
        <v>5.9999999999999995E-4</v>
      </c>
      <c r="H92" s="40">
        <f>H39*6/12*G92</f>
        <v>0.1501715833333333</v>
      </c>
    </row>
    <row r="93" spans="1:18" ht="14.25" customHeight="1">
      <c r="B93" s="7" t="s">
        <v>18</v>
      </c>
      <c r="C93" s="155" t="s">
        <v>190</v>
      </c>
      <c r="D93" s="156"/>
      <c r="E93" s="156"/>
      <c r="F93" s="157"/>
      <c r="G93" s="99">
        <f>SUM(G88:G92)</f>
        <v>2.1303703703703703E-2</v>
      </c>
      <c r="H93" s="100">
        <f>SUM(H88:H92)</f>
        <v>53.449165287037033</v>
      </c>
    </row>
    <row r="94" spans="1:18" ht="14.25" customHeight="1">
      <c r="B94" s="7" t="s">
        <v>20</v>
      </c>
      <c r="C94" s="145" t="s">
        <v>193</v>
      </c>
      <c r="D94" s="146"/>
      <c r="E94" s="146"/>
      <c r="F94" s="147"/>
      <c r="G94" s="26">
        <f>'Informações Gerais'!H44</f>
        <v>5.9629629629629633E-3</v>
      </c>
      <c r="H94" s="40">
        <f>$H$32*G94</f>
        <v>15.350872962962963</v>
      </c>
    </row>
    <row r="95" spans="1:18" ht="14.25">
      <c r="B95" s="7" t="s">
        <v>22</v>
      </c>
      <c r="C95" s="145" t="s">
        <v>195</v>
      </c>
      <c r="D95" s="146"/>
      <c r="E95" s="146"/>
      <c r="F95" s="147"/>
      <c r="G95" s="26">
        <f>'Informações Gerais'!H45</f>
        <v>0</v>
      </c>
      <c r="H95" s="40">
        <f>$H$32*G95</f>
        <v>0</v>
      </c>
    </row>
    <row r="96" spans="1:18" ht="18.399999999999999" customHeight="1">
      <c r="B96" s="142" t="s">
        <v>9</v>
      </c>
      <c r="C96" s="142"/>
      <c r="D96" s="142"/>
      <c r="E96" s="142"/>
      <c r="F96" s="142"/>
      <c r="G96" s="10">
        <f>G93+G94+G95</f>
        <v>2.7266666666666668E-2</v>
      </c>
      <c r="H96" s="41">
        <f>H93+H94+H95</f>
        <v>68.80003825</v>
      </c>
    </row>
    <row r="97" spans="1:8" ht="18.399999999999999" customHeight="1">
      <c r="B97" s="150"/>
      <c r="C97" s="150"/>
      <c r="D97" s="150"/>
      <c r="E97" s="150"/>
      <c r="F97" s="150"/>
      <c r="G97" s="150"/>
      <c r="H97" s="150"/>
    </row>
    <row r="98" spans="1:8" ht="18.399999999999999" customHeight="1">
      <c r="B98" s="142" t="s">
        <v>74</v>
      </c>
      <c r="C98" s="142"/>
      <c r="D98" s="142" t="s">
        <v>75</v>
      </c>
      <c r="E98" s="142"/>
      <c r="F98" s="142"/>
      <c r="G98" s="142"/>
      <c r="H98" s="6" t="s">
        <v>62</v>
      </c>
    </row>
    <row r="99" spans="1:8" ht="14.25">
      <c r="B99" s="13" t="s">
        <v>6</v>
      </c>
      <c r="C99" s="145" t="s">
        <v>213</v>
      </c>
      <c r="D99" s="146"/>
      <c r="E99" s="146"/>
      <c r="F99" s="146"/>
      <c r="G99" s="179"/>
      <c r="H99" s="40">
        <f>(H32+H75+H83)/220*1*CCT!G17*'Informações Gerais'!H49</f>
        <v>0</v>
      </c>
    </row>
    <row r="100" spans="1:8" ht="18.399999999999999" customHeight="1">
      <c r="B100" s="149" t="s">
        <v>9</v>
      </c>
      <c r="C100" s="149"/>
      <c r="D100" s="149"/>
      <c r="E100" s="149"/>
      <c r="F100" s="149"/>
      <c r="G100" s="16"/>
      <c r="H100" s="41">
        <f>H99</f>
        <v>0</v>
      </c>
    </row>
    <row r="101" spans="1:8" ht="18.399999999999999" customHeight="1">
      <c r="B101" s="150"/>
      <c r="C101" s="150"/>
      <c r="D101" s="150"/>
      <c r="E101" s="150"/>
      <c r="F101" s="150"/>
      <c r="G101" s="150"/>
      <c r="H101" s="150"/>
    </row>
    <row r="102" spans="1:8" ht="18.399999999999999" customHeight="1">
      <c r="B102" s="142" t="s">
        <v>77</v>
      </c>
      <c r="C102" s="142"/>
      <c r="D102" s="142"/>
      <c r="E102" s="142"/>
      <c r="F102" s="142"/>
      <c r="G102" s="142"/>
      <c r="H102" s="142"/>
    </row>
    <row r="103" spans="1:8" ht="18.399999999999999" customHeight="1">
      <c r="B103" s="6">
        <v>4</v>
      </c>
      <c r="C103" s="142" t="s">
        <v>78</v>
      </c>
      <c r="D103" s="142"/>
      <c r="E103" s="142"/>
      <c r="F103" s="142"/>
      <c r="G103" s="142"/>
      <c r="H103" s="6" t="s">
        <v>62</v>
      </c>
    </row>
    <row r="104" spans="1:8" ht="14.25">
      <c r="B104" s="7" t="s">
        <v>79</v>
      </c>
      <c r="C104" s="145" t="s">
        <v>208</v>
      </c>
      <c r="D104" s="146"/>
      <c r="E104" s="146"/>
      <c r="F104" s="146"/>
      <c r="G104" s="179"/>
      <c r="H104" s="40">
        <f>H96</f>
        <v>68.80003825</v>
      </c>
    </row>
    <row r="105" spans="1:8" ht="14.25">
      <c r="B105" s="7" t="s">
        <v>80</v>
      </c>
      <c r="C105" s="145" t="s">
        <v>209</v>
      </c>
      <c r="D105" s="146"/>
      <c r="E105" s="146"/>
      <c r="F105" s="146"/>
      <c r="G105" s="179"/>
      <c r="H105" s="40">
        <f>H100</f>
        <v>0</v>
      </c>
    </row>
    <row r="106" spans="1:8" ht="18.399999999999999" customHeight="1">
      <c r="B106" s="149" t="s">
        <v>9</v>
      </c>
      <c r="C106" s="149"/>
      <c r="D106" s="149"/>
      <c r="E106" s="149"/>
      <c r="F106" s="149"/>
      <c r="G106" s="16"/>
      <c r="H106" s="41">
        <f>SUM(H104:H105)</f>
        <v>68.80003825</v>
      </c>
    </row>
    <row r="107" spans="1:8" ht="18.399999999999999" customHeight="1">
      <c r="B107" s="150"/>
      <c r="C107" s="150"/>
      <c r="D107" s="150"/>
      <c r="E107" s="150"/>
      <c r="F107" s="150"/>
      <c r="G107" s="150"/>
      <c r="H107" s="150"/>
    </row>
    <row r="108" spans="1:8" ht="18.399999999999999" customHeight="1">
      <c r="B108" s="142" t="s">
        <v>81</v>
      </c>
      <c r="C108" s="142"/>
      <c r="D108" s="142" t="s">
        <v>82</v>
      </c>
      <c r="E108" s="142"/>
      <c r="F108" s="142"/>
      <c r="G108" s="142"/>
      <c r="H108" s="6" t="s">
        <v>62</v>
      </c>
    </row>
    <row r="109" spans="1:8" ht="14.25">
      <c r="B109" s="7" t="s">
        <v>6</v>
      </c>
      <c r="C109" s="145" t="s">
        <v>207</v>
      </c>
      <c r="D109" s="146"/>
      <c r="E109" s="146"/>
      <c r="F109" s="146"/>
      <c r="G109" s="179"/>
      <c r="H109" s="40">
        <f>'Uniformes e EPIs'!F59</f>
        <v>239.75333333333333</v>
      </c>
    </row>
    <row r="110" spans="1:8" s="125" customFormat="1" ht="14.25">
      <c r="A110" s="124"/>
      <c r="B110" s="133" t="s">
        <v>8</v>
      </c>
      <c r="C110" s="186" t="s">
        <v>206</v>
      </c>
      <c r="D110" s="187"/>
      <c r="E110" s="187"/>
      <c r="F110" s="187"/>
      <c r="G110" s="188"/>
      <c r="H110" s="134">
        <f>'Material de Consumo'!F59</f>
        <v>573.64749999999992</v>
      </c>
    </row>
    <row r="111" spans="1:8" ht="14.25">
      <c r="B111" s="7" t="s">
        <v>13</v>
      </c>
      <c r="C111" s="145" t="s">
        <v>205</v>
      </c>
      <c r="D111" s="180"/>
      <c r="E111" s="180"/>
      <c r="F111" s="180"/>
      <c r="G111" s="179"/>
      <c r="H111" s="134">
        <f>Equipamentos!G45</f>
        <v>41.355979166666671</v>
      </c>
    </row>
    <row r="112" spans="1:8" ht="14.25">
      <c r="B112" s="7" t="s">
        <v>14</v>
      </c>
      <c r="C112" s="145" t="s">
        <v>131</v>
      </c>
      <c r="D112" s="146"/>
      <c r="E112" s="146"/>
      <c r="F112" s="146"/>
      <c r="G112" s="147"/>
      <c r="H112" s="40">
        <v>0</v>
      </c>
    </row>
    <row r="113" spans="1:10" ht="14.25">
      <c r="B113" s="47" t="s">
        <v>16</v>
      </c>
      <c r="C113" s="145" t="s">
        <v>132</v>
      </c>
      <c r="D113" s="146"/>
      <c r="E113" s="146"/>
      <c r="F113" s="146"/>
      <c r="G113" s="147"/>
      <c r="H113" s="40">
        <v>0</v>
      </c>
    </row>
    <row r="114" spans="1:10" ht="18.399999999999999" customHeight="1">
      <c r="B114" s="149" t="s">
        <v>9</v>
      </c>
      <c r="C114" s="149"/>
      <c r="D114" s="149"/>
      <c r="E114" s="149"/>
      <c r="F114" s="149"/>
      <c r="G114" s="14"/>
      <c r="H114" s="41">
        <f>SUM(H109:H113)</f>
        <v>854.75681249999991</v>
      </c>
    </row>
    <row r="115" spans="1:10" s="15" customFormat="1" ht="18.399999999999999" customHeight="1">
      <c r="A115" s="12"/>
      <c r="B115" s="150"/>
      <c r="C115" s="150"/>
      <c r="D115" s="150"/>
      <c r="E115" s="150"/>
      <c r="F115" s="150"/>
      <c r="G115" s="150"/>
      <c r="H115" s="150"/>
    </row>
    <row r="116" spans="1:10" ht="18.399999999999999" customHeight="1">
      <c r="B116" s="142" t="s">
        <v>83</v>
      </c>
      <c r="C116" s="142"/>
      <c r="D116" s="142" t="s">
        <v>84</v>
      </c>
      <c r="E116" s="142"/>
      <c r="F116" s="142"/>
      <c r="G116" s="6" t="s">
        <v>5</v>
      </c>
      <c r="H116" s="6" t="s">
        <v>62</v>
      </c>
    </row>
    <row r="117" spans="1:10" ht="14.25">
      <c r="B117" s="7" t="s">
        <v>6</v>
      </c>
      <c r="C117" s="148" t="s">
        <v>85</v>
      </c>
      <c r="D117" s="148"/>
      <c r="E117" s="148"/>
      <c r="F117" s="148"/>
      <c r="G117" s="9">
        <f>BDI!N8</f>
        <v>0.05</v>
      </c>
      <c r="H117" s="40">
        <f>H132*G117</f>
        <v>326.96811822314817</v>
      </c>
    </row>
    <row r="118" spans="1:10" ht="14.25">
      <c r="B118" s="7" t="s">
        <v>8</v>
      </c>
      <c r="C118" s="148" t="s">
        <v>86</v>
      </c>
      <c r="D118" s="148"/>
      <c r="E118" s="148"/>
      <c r="F118" s="148"/>
      <c r="G118" s="9">
        <f>BDI!N9</f>
        <v>0.1</v>
      </c>
      <c r="H118" s="40">
        <f>(H132+H117)*G118</f>
        <v>686.63304826861111</v>
      </c>
    </row>
    <row r="119" spans="1:10" ht="14.25">
      <c r="B119" s="7" t="s">
        <v>13</v>
      </c>
      <c r="C119" s="148" t="s">
        <v>87</v>
      </c>
      <c r="D119" s="148"/>
      <c r="E119" s="148"/>
      <c r="F119" s="148"/>
      <c r="G119" s="29">
        <f>BDI!N10</f>
        <v>0.14250000000000002</v>
      </c>
      <c r="H119" s="40">
        <f>H120+H121+H122+H123</f>
        <v>1255.1572048525341</v>
      </c>
    </row>
    <row r="120" spans="1:10" ht="14.25">
      <c r="B120" s="7"/>
      <c r="C120" s="143" t="s">
        <v>88</v>
      </c>
      <c r="D120" s="143"/>
      <c r="E120" s="143"/>
      <c r="F120" s="143"/>
      <c r="G120" s="9">
        <f>BDI!N11</f>
        <v>1.6500000000000001E-2</v>
      </c>
      <c r="H120" s="40">
        <f>($H$132+$H$117+$H$118)/(1-$G$119)*G120</f>
        <v>145.33399214081973</v>
      </c>
      <c r="J120" s="24"/>
    </row>
    <row r="121" spans="1:10" ht="14.25">
      <c r="B121" s="7"/>
      <c r="C121" s="143" t="s">
        <v>89</v>
      </c>
      <c r="D121" s="143"/>
      <c r="E121" s="143"/>
      <c r="F121" s="143"/>
      <c r="G121" s="9">
        <f>BDI!N12</f>
        <v>7.5999999999999998E-2</v>
      </c>
      <c r="H121" s="40">
        <f t="shared" ref="H121:H123" si="3">($H$132+$H$117+$H$118)/(1-$G$119)*G121</f>
        <v>669.41717592135137</v>
      </c>
    </row>
    <row r="122" spans="1:10" ht="14.25">
      <c r="B122" s="7"/>
      <c r="C122" s="143" t="s">
        <v>116</v>
      </c>
      <c r="D122" s="143"/>
      <c r="E122" s="143"/>
      <c r="F122" s="143"/>
      <c r="G122" s="9">
        <f>BDI!N13</f>
        <v>0</v>
      </c>
      <c r="H122" s="40">
        <f t="shared" si="3"/>
        <v>0</v>
      </c>
    </row>
    <row r="123" spans="1:10" ht="14.25">
      <c r="B123" s="7"/>
      <c r="C123" s="143" t="s">
        <v>90</v>
      </c>
      <c r="D123" s="143"/>
      <c r="E123" s="143"/>
      <c r="F123" s="143"/>
      <c r="G123" s="9">
        <f>BDI!N14</f>
        <v>0.05</v>
      </c>
      <c r="H123" s="40">
        <f t="shared" si="3"/>
        <v>440.4060367903628</v>
      </c>
      <c r="J123" s="3"/>
    </row>
    <row r="124" spans="1:10" ht="18.399999999999999" customHeight="1">
      <c r="B124" s="142" t="s">
        <v>9</v>
      </c>
      <c r="C124" s="142"/>
      <c r="D124" s="142"/>
      <c r="E124" s="142"/>
      <c r="F124" s="142"/>
      <c r="G124" s="10">
        <f>BDI!N15</f>
        <v>0.34693877551020447</v>
      </c>
      <c r="H124" s="41">
        <f>H117+H118+H119</f>
        <v>2268.7583713442932</v>
      </c>
    </row>
    <row r="125" spans="1:10" s="15" customFormat="1" ht="18.399999999999999" customHeight="1">
      <c r="A125" s="12"/>
      <c r="B125" s="144"/>
      <c r="C125" s="144"/>
      <c r="D125" s="144"/>
      <c r="E125" s="144"/>
      <c r="F125" s="144"/>
      <c r="G125" s="144"/>
      <c r="H125" s="144"/>
    </row>
    <row r="126" spans="1:10" ht="18.399999999999999" customHeight="1">
      <c r="B126" s="142" t="s">
        <v>91</v>
      </c>
      <c r="C126" s="142"/>
      <c r="D126" s="142"/>
      <c r="E126" s="142"/>
      <c r="F126" s="142"/>
      <c r="G126" s="142"/>
      <c r="H126" s="6" t="s">
        <v>62</v>
      </c>
    </row>
    <row r="127" spans="1:10" ht="14.25">
      <c r="B127" s="7" t="s">
        <v>6</v>
      </c>
      <c r="C127" s="8" t="s">
        <v>92</v>
      </c>
      <c r="D127" s="145" t="s">
        <v>224</v>
      </c>
      <c r="E127" s="146"/>
      <c r="F127" s="146"/>
      <c r="G127" s="179"/>
      <c r="H127" s="40">
        <f>H32</f>
        <v>2574.37</v>
      </c>
    </row>
    <row r="128" spans="1:10" ht="14.25">
      <c r="B128" s="7" t="s">
        <v>8</v>
      </c>
      <c r="C128" s="8" t="s">
        <v>93</v>
      </c>
      <c r="D128" s="145" t="s">
        <v>225</v>
      </c>
      <c r="E128" s="146"/>
      <c r="F128" s="146"/>
      <c r="G128" s="147"/>
      <c r="H128" s="40">
        <f>H75</f>
        <v>2856.2405799999997</v>
      </c>
    </row>
    <row r="129" spans="2:8" ht="14.25">
      <c r="B129" s="7" t="s">
        <v>13</v>
      </c>
      <c r="C129" s="8" t="s">
        <v>94</v>
      </c>
      <c r="D129" s="145" t="s">
        <v>226</v>
      </c>
      <c r="E129" s="146"/>
      <c r="F129" s="146"/>
      <c r="G129" s="179"/>
      <c r="H129" s="40">
        <f>H83</f>
        <v>185.19493371296295</v>
      </c>
    </row>
    <row r="130" spans="2:8" ht="14.25">
      <c r="B130" s="7" t="s">
        <v>14</v>
      </c>
      <c r="C130" s="8" t="s">
        <v>95</v>
      </c>
      <c r="D130" s="145" t="s">
        <v>227</v>
      </c>
      <c r="E130" s="146"/>
      <c r="F130" s="146"/>
      <c r="G130" s="179"/>
      <c r="H130" s="40">
        <f>H106</f>
        <v>68.80003825</v>
      </c>
    </row>
    <row r="131" spans="2:8" ht="14.25">
      <c r="B131" s="7" t="s">
        <v>16</v>
      </c>
      <c r="C131" s="8" t="s">
        <v>96</v>
      </c>
      <c r="D131" s="145" t="s">
        <v>228</v>
      </c>
      <c r="E131" s="146"/>
      <c r="F131" s="146"/>
      <c r="G131" s="179"/>
      <c r="H131" s="40">
        <f>H114</f>
        <v>854.75681249999991</v>
      </c>
    </row>
    <row r="132" spans="2:8" ht="14.25">
      <c r="B132" s="142" t="s">
        <v>97</v>
      </c>
      <c r="C132" s="142"/>
      <c r="D132" s="142"/>
      <c r="E132" s="142"/>
      <c r="F132" s="142"/>
      <c r="G132" s="142"/>
      <c r="H132" s="41">
        <f>SUM(H127:H131)</f>
        <v>6539.3623644629624</v>
      </c>
    </row>
    <row r="133" spans="2:8" ht="14.25">
      <c r="B133" s="7" t="s">
        <v>18</v>
      </c>
      <c r="C133" s="7" t="s">
        <v>98</v>
      </c>
      <c r="D133" s="145" t="s">
        <v>229</v>
      </c>
      <c r="E133" s="146"/>
      <c r="F133" s="146"/>
      <c r="G133" s="179"/>
      <c r="H133" s="40">
        <f>H124</f>
        <v>2268.7583713442932</v>
      </c>
    </row>
    <row r="134" spans="2:8" ht="14.25">
      <c r="B134" s="142" t="s">
        <v>99</v>
      </c>
      <c r="C134" s="142"/>
      <c r="D134" s="142"/>
      <c r="E134" s="142"/>
      <c r="F134" s="142"/>
      <c r="G134" s="142"/>
      <c r="H134" s="41">
        <f>H132+H133</f>
        <v>8808.1207358072552</v>
      </c>
    </row>
  </sheetData>
  <mergeCells count="158">
    <mergeCell ref="C8:F8"/>
    <mergeCell ref="G8:H8"/>
    <mergeCell ref="C9:F9"/>
    <mergeCell ref="G9:H9"/>
    <mergeCell ref="C10:F10"/>
    <mergeCell ref="G10:H10"/>
    <mergeCell ref="B1:H2"/>
    <mergeCell ref="B5:H5"/>
    <mergeCell ref="B6:H6"/>
    <mergeCell ref="C7:F7"/>
    <mergeCell ref="G7:H7"/>
    <mergeCell ref="F4:G4"/>
    <mergeCell ref="B3:H3"/>
    <mergeCell ref="B4:E4"/>
    <mergeCell ref="B15:H15"/>
    <mergeCell ref="B16:H16"/>
    <mergeCell ref="B17:H17"/>
    <mergeCell ref="C18:F18"/>
    <mergeCell ref="G18:H18"/>
    <mergeCell ref="C19:F19"/>
    <mergeCell ref="G19:H19"/>
    <mergeCell ref="B11:H11"/>
    <mergeCell ref="B12:H12"/>
    <mergeCell ref="B13:D13"/>
    <mergeCell ref="E13:F13"/>
    <mergeCell ref="G13:H13"/>
    <mergeCell ref="B14:D14"/>
    <mergeCell ref="E14:F14"/>
    <mergeCell ref="G14:H14"/>
    <mergeCell ref="B23:H23"/>
    <mergeCell ref="B24:C24"/>
    <mergeCell ref="D24:G24"/>
    <mergeCell ref="C25:F25"/>
    <mergeCell ref="C26:F26"/>
    <mergeCell ref="C27:F27"/>
    <mergeCell ref="C20:F20"/>
    <mergeCell ref="G20:H20"/>
    <mergeCell ref="C21:F21"/>
    <mergeCell ref="G21:H21"/>
    <mergeCell ref="C22:F22"/>
    <mergeCell ref="G22:H22"/>
    <mergeCell ref="B35:H35"/>
    <mergeCell ref="B36:C36"/>
    <mergeCell ref="D36:F36"/>
    <mergeCell ref="C37:F37"/>
    <mergeCell ref="C38:F38"/>
    <mergeCell ref="B39:F39"/>
    <mergeCell ref="C28:F28"/>
    <mergeCell ref="C29:F29"/>
    <mergeCell ref="C31:F31"/>
    <mergeCell ref="B32:F32"/>
    <mergeCell ref="B33:H33"/>
    <mergeCell ref="B34:C34"/>
    <mergeCell ref="D34:H34"/>
    <mergeCell ref="C30:F30"/>
    <mergeCell ref="C45:F45"/>
    <mergeCell ref="C46:F46"/>
    <mergeCell ref="C47:F47"/>
    <mergeCell ref="C48:F48"/>
    <mergeCell ref="C49:F49"/>
    <mergeCell ref="C50:F50"/>
    <mergeCell ref="B40:H40"/>
    <mergeCell ref="B41:C41"/>
    <mergeCell ref="D41:F41"/>
    <mergeCell ref="C42:F42"/>
    <mergeCell ref="C43:F43"/>
    <mergeCell ref="C44:F44"/>
    <mergeCell ref="B51:F51"/>
    <mergeCell ref="B52:H52"/>
    <mergeCell ref="B53:C53"/>
    <mergeCell ref="D53:G53"/>
    <mergeCell ref="C54:G54"/>
    <mergeCell ref="C55:G55"/>
    <mergeCell ref="C59:G59"/>
    <mergeCell ref="C60:G60"/>
    <mergeCell ref="C61:G61"/>
    <mergeCell ref="B76:H76"/>
    <mergeCell ref="B77:C77"/>
    <mergeCell ref="D77:F77"/>
    <mergeCell ref="C78:F78"/>
    <mergeCell ref="C79:F79"/>
    <mergeCell ref="C80:F80"/>
    <mergeCell ref="B75:F75"/>
    <mergeCell ref="C56:G56"/>
    <mergeCell ref="C57:G57"/>
    <mergeCell ref="C58:G58"/>
    <mergeCell ref="C62:G62"/>
    <mergeCell ref="B63:G63"/>
    <mergeCell ref="B64:H64"/>
    <mergeCell ref="B65:C65"/>
    <mergeCell ref="D65:G65"/>
    <mergeCell ref="C66:G66"/>
    <mergeCell ref="B67:F67"/>
    <mergeCell ref="B68:H68"/>
    <mergeCell ref="C71:F71"/>
    <mergeCell ref="C72:F72"/>
    <mergeCell ref="C73:F73"/>
    <mergeCell ref="C74:F74"/>
    <mergeCell ref="B69:H69"/>
    <mergeCell ref="C70:G70"/>
    <mergeCell ref="C94:F94"/>
    <mergeCell ref="B87:C87"/>
    <mergeCell ref="D87:F87"/>
    <mergeCell ref="C88:F88"/>
    <mergeCell ref="C89:F89"/>
    <mergeCell ref="C90:F90"/>
    <mergeCell ref="C91:F91"/>
    <mergeCell ref="C81:F81"/>
    <mergeCell ref="C82:F82"/>
    <mergeCell ref="B83:F83"/>
    <mergeCell ref="B84:H84"/>
    <mergeCell ref="B85:C85"/>
    <mergeCell ref="D85:H85"/>
    <mergeCell ref="C92:F92"/>
    <mergeCell ref="C93:F93"/>
    <mergeCell ref="B134:G134"/>
    <mergeCell ref="C112:G112"/>
    <mergeCell ref="D128:G128"/>
    <mergeCell ref="B132:G132"/>
    <mergeCell ref="C121:F121"/>
    <mergeCell ref="C122:F122"/>
    <mergeCell ref="C123:F123"/>
    <mergeCell ref="B124:F124"/>
    <mergeCell ref="B125:H125"/>
    <mergeCell ref="B126:G126"/>
    <mergeCell ref="B116:C116"/>
    <mergeCell ref="D116:F116"/>
    <mergeCell ref="C117:F117"/>
    <mergeCell ref="C118:F118"/>
    <mergeCell ref="C119:F119"/>
    <mergeCell ref="C120:F120"/>
    <mergeCell ref="D127:G127"/>
    <mergeCell ref="D129:G129"/>
    <mergeCell ref="D130:G130"/>
    <mergeCell ref="C113:G113"/>
    <mergeCell ref="B114:F114"/>
    <mergeCell ref="B115:H115"/>
    <mergeCell ref="D131:G131"/>
    <mergeCell ref="D133:G133"/>
    <mergeCell ref="C111:G111"/>
    <mergeCell ref="C110:G110"/>
    <mergeCell ref="C109:G109"/>
    <mergeCell ref="C104:G104"/>
    <mergeCell ref="C105:G105"/>
    <mergeCell ref="C99:G99"/>
    <mergeCell ref="C95:F95"/>
    <mergeCell ref="B106:F106"/>
    <mergeCell ref="B107:H107"/>
    <mergeCell ref="B108:C108"/>
    <mergeCell ref="D108:G108"/>
    <mergeCell ref="B100:F100"/>
    <mergeCell ref="B101:H101"/>
    <mergeCell ref="B102:H102"/>
    <mergeCell ref="C103:G103"/>
    <mergeCell ref="B96:F96"/>
    <mergeCell ref="B97:H97"/>
    <mergeCell ref="B98:C98"/>
    <mergeCell ref="D98:G98"/>
  </mergeCells>
  <printOptions horizontalCentered="1"/>
  <pageMargins left="1.1023622047244099" right="0.70866141732283516" top="1.5640625000000001" bottom="0.95447916666666721" header="0.31496062992126012" footer="0.31496062992126012"/>
  <pageSetup paperSize="9" scale="60" fitToWidth="0" fitToHeight="0" orientation="portrait" useFirstPageNumber="1" r:id="rId1"/>
  <rowBreaks count="1" manualBreakCount="1">
    <brk id="75" max="7" man="1"/>
  </rowBreaks>
  <colBreaks count="1" manualBreakCount="1">
    <brk id="8" man="1"/>
  </colBreaks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A1105-9EC8-4A92-A481-0FF07F711DBE}">
  <dimension ref="C5:G11"/>
  <sheetViews>
    <sheetView topLeftCell="B1" zoomScale="130" zoomScaleNormal="130" workbookViewId="0">
      <selection activeCell="E16" sqref="E16"/>
    </sheetView>
  </sheetViews>
  <sheetFormatPr defaultColWidth="22.42578125" defaultRowHeight="12.75"/>
  <cols>
    <col min="3" max="3" width="32.42578125" bestFit="1" customWidth="1"/>
    <col min="4" max="4" width="26.85546875" customWidth="1"/>
    <col min="5" max="5" width="28.7109375" customWidth="1"/>
    <col min="6" max="6" width="22.28515625" customWidth="1"/>
    <col min="7" max="7" width="27.42578125" customWidth="1"/>
    <col min="8" max="8" width="14.85546875" customWidth="1"/>
    <col min="9" max="9" width="13.28515625" customWidth="1"/>
    <col min="10" max="10" width="12.85546875" customWidth="1"/>
    <col min="11" max="11" width="15.5703125" customWidth="1"/>
    <col min="12" max="12" width="13.140625" customWidth="1"/>
  </cols>
  <sheetData>
    <row r="5" spans="3:7" ht="15">
      <c r="C5" s="52" t="s">
        <v>1</v>
      </c>
      <c r="D5" s="52" t="s">
        <v>232</v>
      </c>
      <c r="E5" s="52" t="s">
        <v>235</v>
      </c>
      <c r="F5" s="52" t="s">
        <v>182</v>
      </c>
      <c r="G5" s="52" t="s">
        <v>231</v>
      </c>
    </row>
    <row r="6" spans="3:7">
      <c r="C6" s="27" t="s">
        <v>55</v>
      </c>
      <c r="D6" s="62">
        <v>0</v>
      </c>
      <c r="E6" s="62">
        <v>0</v>
      </c>
      <c r="F6" s="62">
        <v>0</v>
      </c>
      <c r="G6" s="62">
        <v>0</v>
      </c>
    </row>
    <row r="7" spans="3:7" ht="14.25" customHeight="1">
      <c r="C7" s="28" t="s">
        <v>56</v>
      </c>
      <c r="D7" s="62">
        <v>0.2</v>
      </c>
      <c r="E7" s="62">
        <v>0</v>
      </c>
      <c r="F7" s="62">
        <v>0</v>
      </c>
      <c r="G7" s="62">
        <v>0</v>
      </c>
    </row>
    <row r="8" spans="3:7">
      <c r="C8" s="28" t="s">
        <v>57</v>
      </c>
      <c r="D8" s="62">
        <v>0</v>
      </c>
      <c r="E8" s="62">
        <v>0</v>
      </c>
      <c r="F8" s="62">
        <v>0</v>
      </c>
      <c r="G8" s="62">
        <v>0</v>
      </c>
    </row>
    <row r="9" spans="3:7">
      <c r="C9" s="28" t="s">
        <v>58</v>
      </c>
      <c r="D9" s="62">
        <v>0</v>
      </c>
      <c r="E9" s="62">
        <v>0</v>
      </c>
      <c r="F9" s="62">
        <v>0</v>
      </c>
      <c r="G9" s="62">
        <v>0</v>
      </c>
    </row>
    <row r="10" spans="3:7">
      <c r="C10" s="28" t="s">
        <v>183</v>
      </c>
      <c r="D10" s="62">
        <v>0</v>
      </c>
      <c r="E10" s="62">
        <v>0</v>
      </c>
      <c r="F10" s="62">
        <v>0</v>
      </c>
      <c r="G10" s="62">
        <v>0</v>
      </c>
    </row>
    <row r="11" spans="3:7">
      <c r="C11" s="28" t="s">
        <v>59</v>
      </c>
      <c r="D11" s="62">
        <v>0</v>
      </c>
      <c r="E11" s="62">
        <v>0</v>
      </c>
      <c r="F11" s="62">
        <v>0</v>
      </c>
      <c r="G11" s="62">
        <v>0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155EE-17AE-44AE-9948-1AE197A5D450}">
  <dimension ref="C3:N50"/>
  <sheetViews>
    <sheetView topLeftCell="B37" zoomScale="130" zoomScaleNormal="130" workbookViewId="0">
      <selection activeCell="B5" sqref="A5:XFD5"/>
    </sheetView>
  </sheetViews>
  <sheetFormatPr defaultColWidth="22.42578125" defaultRowHeight="12.75"/>
  <cols>
    <col min="3" max="3" width="6.5703125" customWidth="1"/>
    <col min="4" max="4" width="26.85546875" customWidth="1"/>
    <col min="5" max="5" width="24.5703125" customWidth="1"/>
    <col min="6" max="6" width="32" customWidth="1"/>
    <col min="7" max="7" width="21.5703125" customWidth="1"/>
    <col min="8" max="8" width="15.28515625" customWidth="1"/>
    <col min="9" max="9" width="6.7109375" customWidth="1"/>
    <col min="10" max="10" width="17.7109375" style="89" customWidth="1"/>
    <col min="11" max="11" width="10.7109375" style="89" customWidth="1"/>
    <col min="12" max="12" width="11.28515625" style="89" customWidth="1"/>
    <col min="13" max="14" width="9.7109375" style="89" customWidth="1"/>
    <col min="15" max="15" width="6.5703125" customWidth="1"/>
  </cols>
  <sheetData>
    <row r="3" spans="3:14" ht="14.25">
      <c r="F3" s="142" t="s">
        <v>210</v>
      </c>
      <c r="G3" s="142"/>
      <c r="H3" s="105" t="s">
        <v>211</v>
      </c>
    </row>
    <row r="5" spans="3:14" ht="14.25">
      <c r="F5" s="142" t="s">
        <v>142</v>
      </c>
      <c r="G5" s="142"/>
      <c r="H5" s="104">
        <v>1518</v>
      </c>
    </row>
    <row r="8" spans="3:14" ht="14.25">
      <c r="C8" s="142" t="s">
        <v>3</v>
      </c>
      <c r="D8" s="142"/>
      <c r="E8" s="142" t="s">
        <v>4</v>
      </c>
      <c r="F8" s="142"/>
      <c r="G8" s="142"/>
      <c r="H8" s="6" t="s">
        <v>5</v>
      </c>
    </row>
    <row r="9" spans="3:14" ht="14.25">
      <c r="C9" s="7" t="s">
        <v>6</v>
      </c>
      <c r="D9" s="148" t="s">
        <v>7</v>
      </c>
      <c r="E9" s="148"/>
      <c r="F9" s="148"/>
      <c r="G9" s="148"/>
      <c r="H9" s="9">
        <f>1/12</f>
        <v>8.3333333333333329E-2</v>
      </c>
    </row>
    <row r="10" spans="3:14" ht="14.25">
      <c r="C10" s="7" t="s">
        <v>8</v>
      </c>
      <c r="D10" s="148" t="s">
        <v>136</v>
      </c>
      <c r="E10" s="148"/>
      <c r="F10" s="148"/>
      <c r="G10" s="148"/>
      <c r="H10" s="9">
        <f>1/12+1/12/3</f>
        <v>0.1111111111111111</v>
      </c>
    </row>
    <row r="11" spans="3:14" ht="14.25">
      <c r="C11" s="142" t="s">
        <v>9</v>
      </c>
      <c r="D11" s="142"/>
      <c r="E11" s="142"/>
      <c r="F11" s="142"/>
      <c r="G11" s="142"/>
      <c r="H11" s="10">
        <f>SUM(H9:H10)</f>
        <v>0.19444444444444442</v>
      </c>
    </row>
    <row r="12" spans="3:14" ht="14.25">
      <c r="C12" s="150"/>
      <c r="D12" s="150"/>
      <c r="E12" s="150"/>
      <c r="F12" s="150"/>
      <c r="G12" s="150"/>
      <c r="H12" s="150"/>
    </row>
    <row r="13" spans="3:14" ht="14.25">
      <c r="C13" s="142" t="s">
        <v>10</v>
      </c>
      <c r="D13" s="142"/>
      <c r="E13" s="142" t="s">
        <v>11</v>
      </c>
      <c r="F13" s="142"/>
      <c r="G13" s="142"/>
      <c r="H13" s="6" t="s">
        <v>5</v>
      </c>
    </row>
    <row r="14" spans="3:14" ht="14.25">
      <c r="C14" s="7" t="s">
        <v>6</v>
      </c>
      <c r="D14" s="148" t="s">
        <v>12</v>
      </c>
      <c r="E14" s="148"/>
      <c r="F14" s="148"/>
      <c r="G14" s="148"/>
      <c r="H14" s="9">
        <f>IF(H3="sim",0%,20%)</f>
        <v>0.2</v>
      </c>
      <c r="J14" s="194" t="s">
        <v>185</v>
      </c>
      <c r="K14" s="91">
        <v>2025</v>
      </c>
      <c r="L14" s="91">
        <v>2026</v>
      </c>
      <c r="M14" s="91">
        <v>2027</v>
      </c>
      <c r="N14" s="91">
        <v>2028</v>
      </c>
    </row>
    <row r="15" spans="3:14" ht="14.25" customHeight="1">
      <c r="C15" s="7" t="s">
        <v>140</v>
      </c>
      <c r="D15" s="145" t="s">
        <v>141</v>
      </c>
      <c r="E15" s="146"/>
      <c r="F15" s="146"/>
      <c r="G15" s="147"/>
      <c r="H15" s="9">
        <f>IF(H3="sim",K21,0%)</f>
        <v>0</v>
      </c>
      <c r="J15" s="195"/>
      <c r="K15" s="92">
        <v>0.25</v>
      </c>
      <c r="L15" s="92">
        <v>0.5</v>
      </c>
      <c r="M15" s="92">
        <v>0.75</v>
      </c>
      <c r="N15" s="92">
        <v>1</v>
      </c>
    </row>
    <row r="16" spans="3:14" ht="14.25">
      <c r="C16" s="7" t="s">
        <v>8</v>
      </c>
      <c r="D16" s="148" t="s">
        <v>121</v>
      </c>
      <c r="E16" s="148"/>
      <c r="F16" s="148"/>
      <c r="G16" s="148"/>
      <c r="H16" s="9">
        <v>2.5000000000000001E-2</v>
      </c>
      <c r="J16" s="27" t="s">
        <v>186</v>
      </c>
      <c r="K16" s="90">
        <v>12</v>
      </c>
      <c r="L16" s="90">
        <v>12</v>
      </c>
      <c r="M16" s="90">
        <v>12</v>
      </c>
      <c r="N16" s="90">
        <v>12</v>
      </c>
    </row>
    <row r="17" spans="3:14" ht="14.25">
      <c r="C17" s="7" t="s">
        <v>13</v>
      </c>
      <c r="D17" s="148" t="s">
        <v>122</v>
      </c>
      <c r="E17" s="148"/>
      <c r="F17" s="148"/>
      <c r="G17" s="148"/>
      <c r="H17" s="9">
        <v>0.03</v>
      </c>
      <c r="J17" s="27" t="s">
        <v>9</v>
      </c>
      <c r="K17" s="62">
        <f>K15*K16</f>
        <v>3</v>
      </c>
      <c r="L17" s="62">
        <f>L15*L16</f>
        <v>6</v>
      </c>
      <c r="M17" s="62">
        <f>M15*M16</f>
        <v>9</v>
      </c>
      <c r="N17" s="62">
        <f>N15*N16</f>
        <v>12</v>
      </c>
    </row>
    <row r="18" spans="3:14" ht="14.25">
      <c r="C18" s="7" t="s">
        <v>14</v>
      </c>
      <c r="D18" s="148" t="s">
        <v>15</v>
      </c>
      <c r="E18" s="148"/>
      <c r="F18" s="148"/>
      <c r="G18" s="148"/>
      <c r="H18" s="9">
        <v>1.4999999999999999E-2</v>
      </c>
      <c r="J18" s="91" t="s">
        <v>187</v>
      </c>
      <c r="K18" s="191">
        <f>(K17+L17+M17+N17)/(K16+L16+M16+N16)</f>
        <v>0.625</v>
      </c>
      <c r="L18" s="192"/>
      <c r="M18" s="192"/>
      <c r="N18" s="193"/>
    </row>
    <row r="19" spans="3:14" ht="14.25">
      <c r="C19" s="7" t="s">
        <v>16</v>
      </c>
      <c r="D19" s="148" t="s">
        <v>17</v>
      </c>
      <c r="E19" s="148"/>
      <c r="F19" s="148"/>
      <c r="G19" s="148"/>
      <c r="H19" s="9">
        <v>0.01</v>
      </c>
    </row>
    <row r="20" spans="3:14" ht="14.25">
      <c r="C20" s="7" t="s">
        <v>18</v>
      </c>
      <c r="D20" s="148" t="s">
        <v>19</v>
      </c>
      <c r="E20" s="148"/>
      <c r="F20" s="148"/>
      <c r="G20" s="148"/>
      <c r="H20" s="9">
        <v>6.0000000000000001E-3</v>
      </c>
      <c r="J20" s="91" t="s">
        <v>185</v>
      </c>
      <c r="K20" s="62">
        <v>0.2</v>
      </c>
    </row>
    <row r="21" spans="3:14" ht="14.25">
      <c r="C21" s="7" t="s">
        <v>20</v>
      </c>
      <c r="D21" s="148" t="s">
        <v>21</v>
      </c>
      <c r="E21" s="148"/>
      <c r="F21" s="148"/>
      <c r="G21" s="148"/>
      <c r="H21" s="9">
        <v>2E-3</v>
      </c>
      <c r="J21" s="91" t="s">
        <v>188</v>
      </c>
      <c r="K21" s="62">
        <f>K20*K18</f>
        <v>0.125</v>
      </c>
    </row>
    <row r="22" spans="3:14" ht="14.25">
      <c r="C22" s="7" t="s">
        <v>22</v>
      </c>
      <c r="D22" s="148" t="s">
        <v>23</v>
      </c>
      <c r="E22" s="148"/>
      <c r="F22" s="148"/>
      <c r="G22" s="148"/>
      <c r="H22" s="9">
        <v>0.08</v>
      </c>
    </row>
    <row r="23" spans="3:14" ht="14.25">
      <c r="C23" s="142" t="s">
        <v>9</v>
      </c>
      <c r="D23" s="142"/>
      <c r="E23" s="142"/>
      <c r="F23" s="142"/>
      <c r="G23" s="142"/>
      <c r="H23" s="10">
        <f>SUM(H14:H22)</f>
        <v>0.36800000000000005</v>
      </c>
    </row>
    <row r="25" spans="3:14" ht="14.25">
      <c r="C25" s="142" t="s">
        <v>196</v>
      </c>
      <c r="D25" s="142"/>
      <c r="E25" s="142" t="s">
        <v>197</v>
      </c>
      <c r="F25" s="142"/>
      <c r="G25" s="142"/>
      <c r="H25" s="142"/>
      <c r="I25" s="89"/>
    </row>
    <row r="26" spans="3:14" ht="14.25">
      <c r="C26" s="13" t="s">
        <v>6</v>
      </c>
      <c r="D26" s="158" t="s">
        <v>198</v>
      </c>
      <c r="E26" s="158"/>
      <c r="F26" s="158"/>
      <c r="G26" s="158"/>
      <c r="H26" s="95">
        <v>1</v>
      </c>
      <c r="I26" s="89"/>
    </row>
    <row r="27" spans="3:14" ht="14.25">
      <c r="C27" s="149" t="s">
        <v>9</v>
      </c>
      <c r="D27" s="149"/>
      <c r="E27" s="149"/>
      <c r="F27" s="149"/>
      <c r="G27" s="149"/>
      <c r="H27" s="109">
        <f>H26</f>
        <v>1</v>
      </c>
      <c r="I27" s="89"/>
    </row>
    <row r="29" spans="3:14" ht="14.25">
      <c r="C29" s="142" t="s">
        <v>24</v>
      </c>
      <c r="D29" s="142"/>
      <c r="E29" s="142" t="s">
        <v>25</v>
      </c>
      <c r="F29" s="142"/>
      <c r="G29" s="142"/>
      <c r="H29" s="6" t="s">
        <v>5</v>
      </c>
    </row>
    <row r="30" spans="3:14" ht="14.25">
      <c r="C30" s="7" t="s">
        <v>6</v>
      </c>
      <c r="D30" s="148" t="s">
        <v>26</v>
      </c>
      <c r="E30" s="148"/>
      <c r="F30" s="148"/>
      <c r="G30" s="148"/>
      <c r="H30" s="25">
        <f>5%/12</f>
        <v>4.1666666666666666E-3</v>
      </c>
    </row>
    <row r="31" spans="3:14" ht="14.25">
      <c r="C31" s="7" t="s">
        <v>8</v>
      </c>
      <c r="D31" s="148" t="s">
        <v>125</v>
      </c>
      <c r="E31" s="148"/>
      <c r="F31" s="148"/>
      <c r="G31" s="148"/>
      <c r="H31" s="9">
        <f>H22*H30</f>
        <v>3.3333333333333332E-4</v>
      </c>
    </row>
    <row r="32" spans="3:14" ht="14.25">
      <c r="C32" s="7" t="s">
        <v>13</v>
      </c>
      <c r="D32" s="148" t="s">
        <v>27</v>
      </c>
      <c r="E32" s="148"/>
      <c r="F32" s="148"/>
      <c r="G32" s="148"/>
      <c r="H32" s="9">
        <f>7/30/12</f>
        <v>1.9444444444444445E-2</v>
      </c>
    </row>
    <row r="33" spans="3:9" ht="14.25">
      <c r="C33" s="7" t="s">
        <v>14</v>
      </c>
      <c r="D33" s="148" t="s">
        <v>126</v>
      </c>
      <c r="E33" s="148"/>
      <c r="F33" s="148"/>
      <c r="G33" s="148"/>
      <c r="H33" s="9">
        <f>H23*H32</f>
        <v>7.1555555555555565E-3</v>
      </c>
    </row>
    <row r="34" spans="3:9" ht="14.25">
      <c r="C34" s="7" t="s">
        <v>16</v>
      </c>
      <c r="D34" s="148" t="s">
        <v>124</v>
      </c>
      <c r="E34" s="148"/>
      <c r="F34" s="148"/>
      <c r="G34" s="148"/>
      <c r="H34" s="9">
        <v>0.04</v>
      </c>
    </row>
    <row r="35" spans="3:9" ht="14.25">
      <c r="C35" s="142" t="s">
        <v>9</v>
      </c>
      <c r="D35" s="142"/>
      <c r="E35" s="142"/>
      <c r="F35" s="142"/>
      <c r="G35" s="142"/>
      <c r="H35" s="10">
        <f>SUM(H30:H34)</f>
        <v>7.1099999999999997E-2</v>
      </c>
    </row>
    <row r="37" spans="3:9" ht="13.9" customHeight="1">
      <c r="C37" s="142" t="s">
        <v>28</v>
      </c>
      <c r="D37" s="142"/>
      <c r="E37" s="142" t="s">
        <v>29</v>
      </c>
      <c r="F37" s="142"/>
      <c r="G37" s="142"/>
      <c r="H37" s="6" t="s">
        <v>5</v>
      </c>
    </row>
    <row r="38" spans="3:9" ht="13.9" customHeight="1">
      <c r="C38" s="7" t="s">
        <v>6</v>
      </c>
      <c r="D38" s="148" t="s">
        <v>192</v>
      </c>
      <c r="E38" s="148"/>
      <c r="F38" s="148"/>
      <c r="G38" s="148"/>
      <c r="H38" s="58">
        <f>(1/12+1/12+1/12/3)/12</f>
        <v>1.6203703703703703E-2</v>
      </c>
    </row>
    <row r="39" spans="3:9" ht="13.9" customHeight="1">
      <c r="C39" s="7" t="s">
        <v>8</v>
      </c>
      <c r="D39" s="148" t="s">
        <v>30</v>
      </c>
      <c r="E39" s="148"/>
      <c r="F39" s="148"/>
      <c r="G39" s="148"/>
      <c r="H39" s="58">
        <v>2.8E-3</v>
      </c>
    </row>
    <row r="40" spans="3:9" ht="13.9" customHeight="1">
      <c r="C40" s="7" t="s">
        <v>13</v>
      </c>
      <c r="D40" s="148" t="s">
        <v>31</v>
      </c>
      <c r="E40" s="148"/>
      <c r="F40" s="148"/>
      <c r="G40" s="148"/>
      <c r="H40" s="58">
        <v>2.0000000000000001E-4</v>
      </c>
    </row>
    <row r="41" spans="3:9" ht="13.9" customHeight="1">
      <c r="C41" s="7" t="s">
        <v>14</v>
      </c>
      <c r="D41" s="148" t="s">
        <v>32</v>
      </c>
      <c r="E41" s="148"/>
      <c r="F41" s="148"/>
      <c r="G41" s="148"/>
      <c r="H41" s="58">
        <v>1.5E-3</v>
      </c>
      <c r="I41" s="89"/>
    </row>
    <row r="42" spans="3:9" ht="13.9" customHeight="1">
      <c r="C42" s="7" t="s">
        <v>16</v>
      </c>
      <c r="D42" s="148" t="s">
        <v>33</v>
      </c>
      <c r="E42" s="148"/>
      <c r="F42" s="148"/>
      <c r="G42" s="148"/>
      <c r="H42" s="58">
        <v>5.9999999999999995E-4</v>
      </c>
      <c r="I42" s="89"/>
    </row>
    <row r="43" spans="3:9" ht="14.25">
      <c r="C43" s="7" t="s">
        <v>18</v>
      </c>
      <c r="D43" s="155" t="s">
        <v>190</v>
      </c>
      <c r="E43" s="156"/>
      <c r="F43" s="156"/>
      <c r="G43" s="157"/>
      <c r="H43" s="101">
        <f>SUM(H38:H42)</f>
        <v>2.1303703703703703E-2</v>
      </c>
      <c r="I43" s="89"/>
    </row>
    <row r="44" spans="3:9" ht="14.25">
      <c r="C44" s="7" t="s">
        <v>20</v>
      </c>
      <c r="D44" s="145" t="s">
        <v>193</v>
      </c>
      <c r="E44" s="146"/>
      <c r="F44" s="146"/>
      <c r="G44" s="147"/>
      <c r="H44" s="58">
        <f>IF(H3="não",H23,0)*H38</f>
        <v>5.9629629629629633E-3</v>
      </c>
      <c r="I44" s="89"/>
    </row>
    <row r="45" spans="3:9" ht="14.25">
      <c r="C45" s="7" t="s">
        <v>22</v>
      </c>
      <c r="D45" s="145" t="s">
        <v>194</v>
      </c>
      <c r="E45" s="146"/>
      <c r="F45" s="146"/>
      <c r="G45" s="147"/>
      <c r="H45" s="58">
        <f>IF(H3="não",0,H23)*H38</f>
        <v>0</v>
      </c>
      <c r="I45" s="89"/>
    </row>
    <row r="46" spans="3:9" ht="14.25">
      <c r="C46" s="149" t="s">
        <v>9</v>
      </c>
      <c r="D46" s="153"/>
      <c r="E46" s="153"/>
      <c r="F46" s="153"/>
      <c r="G46" s="154"/>
      <c r="H46" s="10">
        <f>H43+H44+H45</f>
        <v>2.7266666666666668E-2</v>
      </c>
      <c r="I46" s="89"/>
    </row>
    <row r="47" spans="3:9">
      <c r="I47" s="89"/>
    </row>
    <row r="48" spans="3:9" ht="14.25">
      <c r="C48" s="142" t="s">
        <v>196</v>
      </c>
      <c r="D48" s="142"/>
      <c r="E48" s="142" t="s">
        <v>202</v>
      </c>
      <c r="F48" s="142"/>
      <c r="G48" s="142"/>
      <c r="H48" s="142"/>
    </row>
    <row r="49" spans="3:8" ht="14.25">
      <c r="C49" s="13" t="s">
        <v>6</v>
      </c>
      <c r="D49" s="158" t="s">
        <v>76</v>
      </c>
      <c r="E49" s="158"/>
      <c r="F49" s="158"/>
      <c r="G49" s="158"/>
      <c r="H49" s="95">
        <v>0</v>
      </c>
    </row>
    <row r="50" spans="3:8" ht="14.25">
      <c r="C50" s="149" t="s">
        <v>9</v>
      </c>
      <c r="D50" s="149"/>
      <c r="E50" s="149"/>
      <c r="F50" s="149"/>
      <c r="G50" s="149"/>
      <c r="H50" s="109">
        <f>H49</f>
        <v>0</v>
      </c>
    </row>
  </sheetData>
  <mergeCells count="49">
    <mergeCell ref="J14:J15"/>
    <mergeCell ref="C35:G35"/>
    <mergeCell ref="C12:H12"/>
    <mergeCell ref="C13:D13"/>
    <mergeCell ref="E13:G13"/>
    <mergeCell ref="D14:G14"/>
    <mergeCell ref="C37:D37"/>
    <mergeCell ref="E37:G37"/>
    <mergeCell ref="D26:G26"/>
    <mergeCell ref="D15:G15"/>
    <mergeCell ref="C29:D29"/>
    <mergeCell ref="E29:G29"/>
    <mergeCell ref="C8:D8"/>
    <mergeCell ref="E8:G8"/>
    <mergeCell ref="D9:G9"/>
    <mergeCell ref="D10:G10"/>
    <mergeCell ref="C11:G11"/>
    <mergeCell ref="C50:G50"/>
    <mergeCell ref="D44:G44"/>
    <mergeCell ref="D45:G45"/>
    <mergeCell ref="C46:G46"/>
    <mergeCell ref="F3:G3"/>
    <mergeCell ref="D40:G40"/>
    <mergeCell ref="F5:G5"/>
    <mergeCell ref="C27:G27"/>
    <mergeCell ref="D16:G16"/>
    <mergeCell ref="D31:G31"/>
    <mergeCell ref="D32:G32"/>
    <mergeCell ref="D33:G33"/>
    <mergeCell ref="D34:G34"/>
    <mergeCell ref="D30:G30"/>
    <mergeCell ref="D17:G17"/>
    <mergeCell ref="D18:G18"/>
    <mergeCell ref="K18:N18"/>
    <mergeCell ref="C23:G23"/>
    <mergeCell ref="C48:D48"/>
    <mergeCell ref="E48:H48"/>
    <mergeCell ref="D49:G49"/>
    <mergeCell ref="D41:G41"/>
    <mergeCell ref="D42:G42"/>
    <mergeCell ref="D43:G43"/>
    <mergeCell ref="D19:G19"/>
    <mergeCell ref="D20:G20"/>
    <mergeCell ref="D21:G21"/>
    <mergeCell ref="D22:G22"/>
    <mergeCell ref="C25:D25"/>
    <mergeCell ref="E25:H25"/>
    <mergeCell ref="D38:G38"/>
    <mergeCell ref="D39:G39"/>
  </mergeCells>
  <dataValidations count="1">
    <dataValidation type="list" allowBlank="1" showInputMessage="1" showErrorMessage="1" sqref="H3" xr:uid="{B9A380D0-4670-4A49-B24B-E293DA642394}">
      <formula1>"Sim, Não"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CCAC2-FDF9-43F5-B9FC-F516AF4635A7}">
  <dimension ref="F6:T15"/>
  <sheetViews>
    <sheetView topLeftCell="J1" zoomScale="140" zoomScaleNormal="140" workbookViewId="0">
      <selection activeCell="J22" sqref="J22"/>
    </sheetView>
  </sheetViews>
  <sheetFormatPr defaultRowHeight="12.75"/>
  <cols>
    <col min="6" max="6" width="18" customWidth="1"/>
    <col min="7" max="7" width="9.140625" hidden="1" customWidth="1"/>
    <col min="10" max="10" width="27.7109375" customWidth="1"/>
    <col min="11" max="11" width="16.28515625" customWidth="1"/>
    <col min="12" max="12" width="16.7109375" customWidth="1"/>
    <col min="13" max="13" width="13.42578125" customWidth="1"/>
    <col min="14" max="14" width="16.7109375" customWidth="1"/>
    <col min="16" max="16" width="16.85546875" bestFit="1" customWidth="1"/>
    <col min="17" max="17" width="8.85546875" customWidth="1"/>
  </cols>
  <sheetData>
    <row r="6" spans="6:20" ht="30" customHeight="1">
      <c r="F6" s="142" t="s">
        <v>83</v>
      </c>
      <c r="G6" s="142"/>
      <c r="H6" s="142" t="s">
        <v>84</v>
      </c>
      <c r="I6" s="142"/>
      <c r="J6" s="142"/>
      <c r="K6" s="196" t="s">
        <v>236</v>
      </c>
      <c r="L6" s="196" t="s">
        <v>235</v>
      </c>
      <c r="M6" s="196" t="s">
        <v>182</v>
      </c>
      <c r="N6" s="196" t="s">
        <v>231</v>
      </c>
      <c r="P6" s="194" t="s">
        <v>176</v>
      </c>
      <c r="Q6" s="91">
        <v>2025</v>
      </c>
      <c r="R6" s="91">
        <v>2026</v>
      </c>
      <c r="S6" s="91">
        <v>2027</v>
      </c>
      <c r="T6" s="91">
        <v>2028</v>
      </c>
    </row>
    <row r="7" spans="6:20" ht="14.25" customHeight="1">
      <c r="F7" s="142"/>
      <c r="G7" s="142"/>
      <c r="H7" s="142"/>
      <c r="I7" s="142"/>
      <c r="J7" s="142"/>
      <c r="K7" s="196"/>
      <c r="L7" s="196"/>
      <c r="M7" s="196"/>
      <c r="N7" s="196"/>
      <c r="P7" s="195"/>
      <c r="Q7" s="92">
        <v>0.8</v>
      </c>
      <c r="R7" s="92">
        <v>0.6</v>
      </c>
      <c r="S7" s="92">
        <v>0.4</v>
      </c>
      <c r="T7" s="92">
        <v>0</v>
      </c>
    </row>
    <row r="8" spans="6:20" ht="14.25">
      <c r="F8" s="7" t="s">
        <v>6</v>
      </c>
      <c r="G8" s="148" t="s">
        <v>85</v>
      </c>
      <c r="H8" s="148"/>
      <c r="I8" s="148"/>
      <c r="J8" s="148"/>
      <c r="K8" s="55">
        <v>0.05</v>
      </c>
      <c r="L8" s="55">
        <v>0.05</v>
      </c>
      <c r="M8" s="55">
        <v>0.05</v>
      </c>
      <c r="N8" s="55">
        <v>0.05</v>
      </c>
      <c r="P8" s="27" t="s">
        <v>186</v>
      </c>
      <c r="Q8" s="90">
        <v>12</v>
      </c>
      <c r="R8" s="90">
        <v>12</v>
      </c>
      <c r="S8" s="90">
        <v>12</v>
      </c>
      <c r="T8" s="90">
        <v>0</v>
      </c>
    </row>
    <row r="9" spans="6:20" ht="14.25">
      <c r="F9" s="7" t="s">
        <v>8</v>
      </c>
      <c r="G9" s="148" t="s">
        <v>86</v>
      </c>
      <c r="H9" s="148"/>
      <c r="I9" s="148"/>
      <c r="J9" s="148"/>
      <c r="K9" s="55">
        <v>0.1</v>
      </c>
      <c r="L9" s="55">
        <v>0.1</v>
      </c>
      <c r="M9" s="55">
        <v>0.1</v>
      </c>
      <c r="N9" s="55">
        <v>0.1</v>
      </c>
      <c r="P9" s="27" t="s">
        <v>9</v>
      </c>
      <c r="Q9" s="62">
        <f>Q7*Q8</f>
        <v>9.6000000000000014</v>
      </c>
      <c r="R9" s="62">
        <f>R7*R8</f>
        <v>7.1999999999999993</v>
      </c>
      <c r="S9" s="62">
        <f>S7*S8</f>
        <v>4.8000000000000007</v>
      </c>
      <c r="T9" s="62">
        <f>T7*T8</f>
        <v>0</v>
      </c>
    </row>
    <row r="10" spans="6:20" ht="14.25">
      <c r="F10" s="7" t="s">
        <v>13</v>
      </c>
      <c r="G10" s="148" t="s">
        <v>87</v>
      </c>
      <c r="H10" s="148"/>
      <c r="I10" s="148"/>
      <c r="J10" s="148"/>
      <c r="K10" s="57">
        <f>K11+K12+K13+K14</f>
        <v>0.14250000000000002</v>
      </c>
      <c r="L10" s="57">
        <f>L11+L12+L13+L14</f>
        <v>0.14250000000000002</v>
      </c>
      <c r="M10" s="57">
        <f t="shared" ref="M10:N10" si="0">M11+M12+M13+M14</f>
        <v>0.14250000000000002</v>
      </c>
      <c r="N10" s="57">
        <f t="shared" si="0"/>
        <v>0.14250000000000002</v>
      </c>
      <c r="P10" s="91" t="s">
        <v>187</v>
      </c>
      <c r="Q10" s="191">
        <f>(Q9+R9+S9+T9)/(Q8+R8+S8+T8)</f>
        <v>0.60000000000000009</v>
      </c>
      <c r="R10" s="192"/>
      <c r="S10" s="192"/>
      <c r="T10" s="193"/>
    </row>
    <row r="11" spans="6:20" ht="14.25">
      <c r="F11" s="7"/>
      <c r="G11" s="143" t="s">
        <v>88</v>
      </c>
      <c r="H11" s="143"/>
      <c r="I11" s="143"/>
      <c r="J11" s="143"/>
      <c r="K11" s="55">
        <v>1.6500000000000001E-2</v>
      </c>
      <c r="L11" s="55">
        <v>1.6500000000000001E-2</v>
      </c>
      <c r="M11" s="55">
        <v>1.6500000000000001E-2</v>
      </c>
      <c r="N11" s="55">
        <v>1.6500000000000001E-2</v>
      </c>
      <c r="P11" s="89"/>
      <c r="Q11" s="89"/>
      <c r="R11" s="89"/>
      <c r="S11" s="89"/>
      <c r="T11" s="89"/>
    </row>
    <row r="12" spans="6:20" ht="14.25">
      <c r="F12" s="7"/>
      <c r="G12" s="143" t="s">
        <v>89</v>
      </c>
      <c r="H12" s="143"/>
      <c r="I12" s="143"/>
      <c r="J12" s="143"/>
      <c r="K12" s="55">
        <v>7.5999999999999998E-2</v>
      </c>
      <c r="L12" s="55">
        <v>7.5999999999999998E-2</v>
      </c>
      <c r="M12" s="55">
        <v>7.5999999999999998E-2</v>
      </c>
      <c r="N12" s="55">
        <v>7.5999999999999998E-2</v>
      </c>
      <c r="P12" s="91" t="s">
        <v>176</v>
      </c>
      <c r="Q12" s="62">
        <v>4.4999999999999998E-2</v>
      </c>
      <c r="R12" s="89"/>
      <c r="S12" s="89"/>
      <c r="T12" s="89"/>
    </row>
    <row r="13" spans="6:20" ht="14.25">
      <c r="F13" s="7"/>
      <c r="G13" s="143" t="s">
        <v>116</v>
      </c>
      <c r="H13" s="143"/>
      <c r="I13" s="143"/>
      <c r="J13" s="143"/>
      <c r="K13" s="55">
        <f>IF('Informações Gerais'!$H$3="sim",BDI!$Q$13,0%)</f>
        <v>0</v>
      </c>
      <c r="L13" s="55">
        <f>IF('Informações Gerais'!$H$3="sim",BDI!$Q$13,0%)</f>
        <v>0</v>
      </c>
      <c r="M13" s="55">
        <f>IF('Informações Gerais'!$H$3="sim",BDI!$Q$13,0%)</f>
        <v>0</v>
      </c>
      <c r="N13" s="55">
        <f>IF('Informações Gerais'!$H$3="sim",BDI!$Q$13,0%)</f>
        <v>0</v>
      </c>
      <c r="P13" s="91" t="s">
        <v>188</v>
      </c>
      <c r="Q13" s="62">
        <f>Q10*Q12</f>
        <v>2.7000000000000003E-2</v>
      </c>
      <c r="R13" s="89"/>
      <c r="S13" s="89"/>
      <c r="T13" s="89"/>
    </row>
    <row r="14" spans="6:20" ht="14.25">
      <c r="F14" s="7"/>
      <c r="G14" s="143" t="s">
        <v>90</v>
      </c>
      <c r="H14" s="143"/>
      <c r="I14" s="143"/>
      <c r="J14" s="143"/>
      <c r="K14" s="55">
        <v>0.05</v>
      </c>
      <c r="L14" s="55">
        <v>0.05</v>
      </c>
      <c r="M14" s="55">
        <v>0.05</v>
      </c>
      <c r="N14" s="55">
        <v>0.05</v>
      </c>
    </row>
    <row r="15" spans="6:20" ht="14.25">
      <c r="F15" s="142" t="s">
        <v>9</v>
      </c>
      <c r="G15" s="142"/>
      <c r="H15" s="142"/>
      <c r="I15" s="142"/>
      <c r="J15" s="142"/>
      <c r="K15" s="56">
        <f>(1+K8)*(1+K9)/(1-K10)-1</f>
        <v>0.34693877551020447</v>
      </c>
      <c r="L15" s="56">
        <f>(1+L8)*(1+L9)/(1-L10)-1</f>
        <v>0.34693877551020447</v>
      </c>
      <c r="M15" s="56">
        <f t="shared" ref="M15:N15" si="1">(1+M8)*(1+M9)/(1-M10)-1</f>
        <v>0.34693877551020447</v>
      </c>
      <c r="N15" s="56">
        <f t="shared" si="1"/>
        <v>0.34693877551020447</v>
      </c>
    </row>
  </sheetData>
  <mergeCells count="16">
    <mergeCell ref="G12:J12"/>
    <mergeCell ref="G13:J13"/>
    <mergeCell ref="G14:J14"/>
    <mergeCell ref="F15:J15"/>
    <mergeCell ref="F6:G7"/>
    <mergeCell ref="H6:J7"/>
    <mergeCell ref="G8:J8"/>
    <mergeCell ref="G9:J9"/>
    <mergeCell ref="G10:J10"/>
    <mergeCell ref="G11:J11"/>
    <mergeCell ref="P6:P7"/>
    <mergeCell ref="Q10:T10"/>
    <mergeCell ref="K6:K7"/>
    <mergeCell ref="L6:L7"/>
    <mergeCell ref="M6:M7"/>
    <mergeCell ref="N6:N7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C5:I25"/>
  <sheetViews>
    <sheetView topLeftCell="B7" zoomScale="130" zoomScaleNormal="130" workbookViewId="0">
      <selection activeCell="B5" sqref="B5"/>
    </sheetView>
  </sheetViews>
  <sheetFormatPr defaultColWidth="22.42578125" defaultRowHeight="12.75"/>
  <cols>
    <col min="3" max="3" width="32.42578125" bestFit="1" customWidth="1"/>
    <col min="4" max="4" width="26.85546875" customWidth="1"/>
    <col min="5" max="5" width="28.140625" customWidth="1"/>
    <col min="6" max="6" width="22.28515625" customWidth="1"/>
    <col min="7" max="7" width="27.42578125" customWidth="1"/>
  </cols>
  <sheetData>
    <row r="5" spans="3:9" ht="15">
      <c r="C5" s="52" t="s">
        <v>1</v>
      </c>
      <c r="D5" s="64" t="s">
        <v>232</v>
      </c>
      <c r="E5" s="64" t="s">
        <v>235</v>
      </c>
      <c r="F5" s="64" t="s">
        <v>182</v>
      </c>
      <c r="G5" s="64" t="s">
        <v>231</v>
      </c>
    </row>
    <row r="6" spans="3:9">
      <c r="C6" s="27" t="s">
        <v>114</v>
      </c>
      <c r="D6" s="107">
        <v>1743.69</v>
      </c>
      <c r="E6" s="63">
        <v>1743.69</v>
      </c>
      <c r="F6" s="63">
        <v>1743.69</v>
      </c>
      <c r="G6" s="63">
        <v>2574.37</v>
      </c>
    </row>
    <row r="7" spans="3:9" ht="14.25" customHeight="1">
      <c r="C7" s="28" t="s">
        <v>115</v>
      </c>
      <c r="D7" s="107">
        <v>5.5</v>
      </c>
      <c r="E7" s="63">
        <v>5.5</v>
      </c>
      <c r="F7" s="63">
        <v>5.5</v>
      </c>
      <c r="G7" s="63">
        <v>5.5</v>
      </c>
    </row>
    <row r="8" spans="3:9">
      <c r="C8" s="28" t="s">
        <v>113</v>
      </c>
      <c r="D8" s="107">
        <v>930.3</v>
      </c>
      <c r="E8" s="63">
        <v>930.3</v>
      </c>
      <c r="F8" s="63">
        <v>930.3</v>
      </c>
      <c r="G8" s="63">
        <v>930.3</v>
      </c>
    </row>
    <row r="9" spans="3:9">
      <c r="C9" s="28" t="s">
        <v>109</v>
      </c>
      <c r="D9" s="107">
        <v>200</v>
      </c>
      <c r="E9" s="63">
        <v>200</v>
      </c>
      <c r="F9" s="63">
        <v>200</v>
      </c>
      <c r="G9" s="63">
        <v>200</v>
      </c>
    </row>
    <row r="10" spans="3:9" ht="12.75" customHeight="1">
      <c r="C10" s="28" t="s">
        <v>110</v>
      </c>
      <c r="D10" s="107">
        <v>13.64</v>
      </c>
      <c r="E10" s="63">
        <v>13.64</v>
      </c>
      <c r="F10" s="63">
        <v>13.64</v>
      </c>
      <c r="G10" s="63">
        <v>13.64</v>
      </c>
    </row>
    <row r="11" spans="3:9" ht="14.25" customHeight="1">
      <c r="C11" s="28" t="s">
        <v>137</v>
      </c>
      <c r="D11" s="107">
        <v>3.61</v>
      </c>
      <c r="E11" s="63">
        <v>3.61</v>
      </c>
      <c r="F11" s="63">
        <v>3.61</v>
      </c>
      <c r="G11" s="63">
        <v>3.61</v>
      </c>
    </row>
    <row r="12" spans="3:9">
      <c r="C12" s="28" t="s">
        <v>191</v>
      </c>
      <c r="D12" s="107">
        <f>-E12-D14</f>
        <v>0</v>
      </c>
      <c r="E12" s="63">
        <f>-E14</f>
        <v>0</v>
      </c>
      <c r="F12" s="63">
        <f>-G12-E25</f>
        <v>0</v>
      </c>
      <c r="G12" s="63">
        <f>-B2</f>
        <v>0</v>
      </c>
    </row>
    <row r="13" spans="3:9">
      <c r="C13" s="28" t="s">
        <v>111</v>
      </c>
      <c r="D13" s="107">
        <v>0</v>
      </c>
      <c r="E13" s="63">
        <v>0</v>
      </c>
      <c r="F13" s="63">
        <v>0</v>
      </c>
      <c r="G13" s="63">
        <v>0</v>
      </c>
    </row>
    <row r="14" spans="3:9">
      <c r="C14" s="28" t="s">
        <v>111</v>
      </c>
      <c r="D14" s="107">
        <v>0</v>
      </c>
      <c r="E14" s="63">
        <v>0</v>
      </c>
      <c r="F14" s="63">
        <v>0</v>
      </c>
      <c r="G14" s="63">
        <v>0</v>
      </c>
      <c r="I14" s="110">
        <v>132</v>
      </c>
    </row>
    <row r="15" spans="3:9">
      <c r="C15" s="88" t="s">
        <v>111</v>
      </c>
      <c r="D15" s="108">
        <v>0</v>
      </c>
      <c r="E15" s="68">
        <v>0</v>
      </c>
      <c r="F15" s="68">
        <v>0</v>
      </c>
      <c r="G15" s="68">
        <v>0</v>
      </c>
    </row>
    <row r="16" spans="3:9">
      <c r="C16" s="197" t="s">
        <v>147</v>
      </c>
      <c r="D16" s="93" t="str">
        <f>D5</f>
        <v>SERVENTE DE LIMPEZA</v>
      </c>
      <c r="E16" s="93" t="str">
        <f t="shared" ref="E16:G16" si="0">E5</f>
        <v>CARREGADOR</v>
      </c>
      <c r="F16" s="93" t="str">
        <f t="shared" si="0"/>
        <v>COPEIRO</v>
      </c>
      <c r="G16" s="93" t="str">
        <f t="shared" si="0"/>
        <v>GARÇOM</v>
      </c>
    </row>
    <row r="17" spans="3:7">
      <c r="C17" s="197"/>
      <c r="D17" s="59">
        <v>21</v>
      </c>
      <c r="E17" s="59">
        <v>21</v>
      </c>
      <c r="F17" s="59">
        <v>21</v>
      </c>
      <c r="G17" s="59">
        <v>21</v>
      </c>
    </row>
    <row r="18" spans="3:7">
      <c r="C18" s="93" t="s">
        <v>189</v>
      </c>
      <c r="D18" s="59">
        <v>0</v>
      </c>
      <c r="E18" s="59">
        <v>0</v>
      </c>
      <c r="F18" s="59">
        <v>0</v>
      </c>
      <c r="G18" s="59">
        <v>0</v>
      </c>
    </row>
    <row r="19" spans="3:7">
      <c r="C19" s="93" t="s">
        <v>199</v>
      </c>
      <c r="D19" s="102">
        <v>0</v>
      </c>
      <c r="E19" s="102">
        <v>0</v>
      </c>
      <c r="F19" s="102">
        <v>0</v>
      </c>
      <c r="G19" s="102">
        <v>0</v>
      </c>
    </row>
    <row r="21" spans="3:7">
      <c r="C21" s="61" t="s">
        <v>143</v>
      </c>
      <c r="D21" s="61" t="s">
        <v>144</v>
      </c>
    </row>
    <row r="22" spans="3:7">
      <c r="C22" s="27" t="s">
        <v>146</v>
      </c>
      <c r="D22" s="62">
        <v>0.06</v>
      </c>
    </row>
    <row r="23" spans="3:7">
      <c r="C23" s="27" t="s">
        <v>145</v>
      </c>
      <c r="D23" s="62"/>
    </row>
    <row r="25" spans="3:7" ht="14.25" customHeight="1"/>
  </sheetData>
  <mergeCells count="1">
    <mergeCell ref="C16:C1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Metadata/LabelInfo.xml><?xml version="1.0" encoding="utf-8"?>
<clbl:labelList xmlns:clbl="http://schemas.microsoft.com/office/2020/mipLabelMetadata">
  <clbl:label id="{6678d9fe-0921-417d-8411-5f1c18defbbb}" enabled="0" method="" siteId="{6678d9fe-0921-417d-8411-5f1c18defbb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10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13</vt:i4>
      </vt:variant>
      <vt:variant>
        <vt:lpstr>Intervalos Nomeados</vt:lpstr>
      </vt:variant>
      <vt:variant>
        <vt:i4>11</vt:i4>
      </vt:variant>
    </vt:vector>
  </HeadingPairs>
  <TitlesOfParts>
    <vt:vector size="24" baseType="lpstr">
      <vt:lpstr>Resumo</vt:lpstr>
      <vt:lpstr>Serv. de limpeza</vt:lpstr>
      <vt:lpstr>Carregador</vt:lpstr>
      <vt:lpstr>Copeiro</vt:lpstr>
      <vt:lpstr>Garçom</vt:lpstr>
      <vt:lpstr>Informações Específicas</vt:lpstr>
      <vt:lpstr>Informações Gerais</vt:lpstr>
      <vt:lpstr>BDI</vt:lpstr>
      <vt:lpstr>CCT</vt:lpstr>
      <vt:lpstr>Uniformes e EPIs</vt:lpstr>
      <vt:lpstr>Material de Consumo</vt:lpstr>
      <vt:lpstr>Equipamentos</vt:lpstr>
      <vt:lpstr>Férias</vt:lpstr>
      <vt:lpstr>Carregador!Area_de_impressao</vt:lpstr>
      <vt:lpstr>Copeiro!Area_de_impressao</vt:lpstr>
      <vt:lpstr>Garçom!Area_de_impressao</vt:lpstr>
      <vt:lpstr>'Material de Consumo'!Area_de_impressao</vt:lpstr>
      <vt:lpstr>Resumo!Area_de_impressao</vt:lpstr>
      <vt:lpstr>'Serv. de limpeza'!Area_de_impressao</vt:lpstr>
      <vt:lpstr>'Uniformes e EPIs'!Area_de_impressao</vt:lpstr>
      <vt:lpstr>Carregador!Excel_BuiltIn_Print_Area</vt:lpstr>
      <vt:lpstr>Copeiro!Excel_BuiltIn_Print_Area</vt:lpstr>
      <vt:lpstr>Garçom!Excel_BuiltIn_Print_Area</vt:lpstr>
      <vt:lpstr>'Serv. de limpeza'!Excel_BuiltIn_Print_Area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Luan Gouvêa Alves Estácio</dc:creator>
  <cp:lastModifiedBy>Herbert</cp:lastModifiedBy>
  <cp:revision>3</cp:revision>
  <cp:lastPrinted>2023-04-14T17:28:41Z</cp:lastPrinted>
  <dcterms:created xsi:type="dcterms:W3CDTF">2018-08-17T20:56:47Z</dcterms:created>
  <dcterms:modified xsi:type="dcterms:W3CDTF">2025-06-02T17:28:00Z</dcterms:modified>
</cp:coreProperties>
</file>