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rbert\Downloads\DEZ\"/>
    </mc:Choice>
  </mc:AlternateContent>
  <bookViews>
    <workbookView xWindow="0" yWindow="0" windowWidth="25200" windowHeight="11850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5" i="1" l="1"/>
  <c r="G45" i="1"/>
  <c r="H44" i="1"/>
  <c r="G44" i="1"/>
  <c r="H43" i="1"/>
  <c r="G43" i="1"/>
  <c r="H42" i="1"/>
  <c r="G42" i="1"/>
  <c r="F42" i="1"/>
  <c r="H41" i="1"/>
  <c r="G41" i="1"/>
  <c r="G40" i="1"/>
  <c r="F40" i="1"/>
  <c r="H39" i="1"/>
  <c r="G39" i="1"/>
  <c r="F39" i="1"/>
  <c r="H38" i="1"/>
  <c r="G38" i="1"/>
  <c r="H37" i="1"/>
  <c r="G37" i="1"/>
  <c r="H36" i="1"/>
  <c r="G36" i="1"/>
  <c r="H35" i="1"/>
  <c r="G35" i="1"/>
  <c r="H34" i="1"/>
  <c r="G34" i="1"/>
  <c r="F34" i="1"/>
  <c r="G33" i="1"/>
  <c r="F33" i="1"/>
  <c r="G32" i="1"/>
  <c r="F32" i="1"/>
  <c r="H31" i="1"/>
  <c r="G31" i="1"/>
  <c r="F31" i="1"/>
  <c r="F20" i="1"/>
  <c r="F16" i="1"/>
  <c r="H30" i="1"/>
  <c r="G30" i="1"/>
  <c r="F30" i="1"/>
  <c r="H29" i="1"/>
  <c r="G29" i="1"/>
  <c r="H28" i="1"/>
  <c r="G28" i="1"/>
  <c r="H27" i="1"/>
  <c r="G27" i="1"/>
  <c r="H26" i="1"/>
  <c r="G26" i="1"/>
  <c r="H25" i="1"/>
  <c r="G25" i="1"/>
  <c r="H24" i="1"/>
  <c r="G24" i="1"/>
  <c r="F24" i="1"/>
  <c r="H23" i="1"/>
  <c r="G23" i="1"/>
  <c r="H22" i="1"/>
  <c r="G22" i="1"/>
  <c r="H21" i="1"/>
  <c r="G21" i="1"/>
  <c r="H20" i="1"/>
  <c r="G20" i="1"/>
  <c r="H19" i="1"/>
  <c r="G19" i="1"/>
  <c r="F19" i="1"/>
  <c r="H18" i="1"/>
  <c r="G18" i="1"/>
  <c r="H17" i="1"/>
  <c r="G17" i="1"/>
  <c r="I16" i="1"/>
  <c r="H16" i="1"/>
  <c r="G16" i="1"/>
  <c r="H15" i="1"/>
  <c r="G15" i="1"/>
  <c r="H14" i="1"/>
  <c r="G14" i="1"/>
  <c r="H13" i="1"/>
  <c r="G13" i="1"/>
  <c r="H12" i="1"/>
  <c r="G12" i="1"/>
  <c r="F12" i="1"/>
  <c r="I10" i="1" l="1"/>
  <c r="H10" i="1"/>
  <c r="G10" i="1"/>
  <c r="H9" i="1"/>
  <c r="H8" i="1"/>
  <c r="G8" i="1"/>
  <c r="H7" i="1"/>
  <c r="G7" i="1"/>
  <c r="F7" i="1"/>
  <c r="G9" i="1"/>
  <c r="H6" i="1"/>
  <c r="G6" i="1"/>
  <c r="H5" i="1"/>
  <c r="G5" i="1"/>
  <c r="E45" i="1"/>
  <c r="E42" i="1"/>
  <c r="E41" i="1"/>
  <c r="E37" i="1"/>
  <c r="E36" i="1"/>
  <c r="E34" i="1"/>
  <c r="E32" i="1"/>
  <c r="E31" i="1"/>
  <c r="E29" i="1"/>
  <c r="E28" i="1"/>
  <c r="E24" i="1"/>
  <c r="E21" i="1"/>
  <c r="E20" i="1"/>
  <c r="E16" i="1"/>
  <c r="E9" i="1"/>
  <c r="E8" i="1"/>
  <c r="H53" i="1" l="1"/>
  <c r="H52" i="1"/>
  <c r="H50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E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E6" i="1"/>
  <c r="J5" i="1"/>
  <c r="E5" i="1"/>
</calcChain>
</file>

<file path=xl/sharedStrings.xml><?xml version="1.0" encoding="utf-8"?>
<sst xmlns="http://schemas.openxmlformats.org/spreadsheetml/2006/main" count="160" uniqueCount="106">
  <si>
    <t>EMPREGADOS</t>
  </si>
  <si>
    <t>CPF</t>
  </si>
  <si>
    <t>MATRÍCULA</t>
  </si>
  <si>
    <t>CARGO</t>
  </si>
  <si>
    <t>FUNÇÃO</t>
  </si>
  <si>
    <t>REMUNERAÇÃO BÁSICA BRUTA</t>
  </si>
  <si>
    <t>DEDUÇÕES OBRIGATÓRIAS</t>
  </si>
  <si>
    <t>REMUNERAÇÃO APÓS DEDUÇÕES OBRIGATÓRIAS</t>
  </si>
  <si>
    <t>INSS</t>
  </si>
  <si>
    <t>IRPF</t>
  </si>
  <si>
    <t>PENSÃO ALIMENTÍCIA</t>
  </si>
  <si>
    <t>Analista Técnico III – Nível V</t>
  </si>
  <si>
    <t>Analista de Tecnologia e Inovação</t>
  </si>
  <si>
    <t>113.XXX.XXX-07</t>
  </si>
  <si>
    <t>Assistente  Administrativo</t>
  </si>
  <si>
    <t>715.XXX.XXX-53</t>
  </si>
  <si>
    <t>Analista de Avaliação e Credenciamento</t>
  </si>
  <si>
    <t>694.XXX.XXX-04</t>
  </si>
  <si>
    <t>Analista Técnico III– Nível V</t>
  </si>
  <si>
    <t>Analista Jurídico</t>
  </si>
  <si>
    <t>715.XXX.XXX-15</t>
  </si>
  <si>
    <t>Analista de ATER, Formação e Qualificação</t>
  </si>
  <si>
    <t>937.XXX.XXX-34</t>
  </si>
  <si>
    <t>516.XXX.XXX-53</t>
  </si>
  <si>
    <t>Motorista Executivo – Nível V</t>
  </si>
  <si>
    <t xml:space="preserve">Motorista Executivo </t>
  </si>
  <si>
    <t>989.XXX.XXX-15</t>
  </si>
  <si>
    <t>Assessor III – Nível V</t>
  </si>
  <si>
    <t>Assessor Jurídico</t>
  </si>
  <si>
    <t>838.XXX.XXX-04</t>
  </si>
  <si>
    <t>737.XXX.XXX-49</t>
  </si>
  <si>
    <t>Analista Técnico I – Nível I</t>
  </si>
  <si>
    <t>Analista Contábil e Financeiro</t>
  </si>
  <si>
    <t>834.XXX.XXX-91</t>
  </si>
  <si>
    <t>Analista de Negócios e Monitoramento</t>
  </si>
  <si>
    <t>051.XXX.XXX-71</t>
  </si>
  <si>
    <t>Analista Técnico I – Nível V</t>
  </si>
  <si>
    <t>041.XXX.XXX-13</t>
  </si>
  <si>
    <t>047.XXX.XXX-51</t>
  </si>
  <si>
    <t>Analista Admnistrativo</t>
  </si>
  <si>
    <t>346.XXX.XXX-49</t>
  </si>
  <si>
    <t>465.XXX.XXX-34</t>
  </si>
  <si>
    <t>Jovem Aprendiz</t>
  </si>
  <si>
    <t>Administrativo</t>
  </si>
  <si>
    <t>935.XXX.XXX-53</t>
  </si>
  <si>
    <t>Assessor III – Nível I</t>
  </si>
  <si>
    <t>Assessor Técnico</t>
  </si>
  <si>
    <t>326.XXX.XXX-10</t>
  </si>
  <si>
    <t>231.XXX.XXX-53</t>
  </si>
  <si>
    <t>087.XXX.XXX-39</t>
  </si>
  <si>
    <t>Gerente – Nível V</t>
  </si>
  <si>
    <t>Gerente de Logística</t>
  </si>
  <si>
    <t>069.XXX.XXX-07</t>
  </si>
  <si>
    <t>953.XXX.XXX-53</t>
  </si>
  <si>
    <t>042.XXX.XXX-23</t>
  </si>
  <si>
    <t>Analista Administrativa Financeira</t>
  </si>
  <si>
    <t>782.XXX.XXX-34</t>
  </si>
  <si>
    <t>Assessora Técnica</t>
  </si>
  <si>
    <t>041.XXX.XXX-86</t>
  </si>
  <si>
    <t>664.XXX.XXX-20</t>
  </si>
  <si>
    <t>949.XXX.XXX-34</t>
  </si>
  <si>
    <t>Analista Técnico I - Nível V</t>
  </si>
  <si>
    <t>Analista de Logística</t>
  </si>
  <si>
    <t>238.XXX.XXX-49</t>
  </si>
  <si>
    <t>Gerente - Nível V</t>
  </si>
  <si>
    <t>Gerente Administrativa Financeira</t>
  </si>
  <si>
    <t>055.XXX.XXX-00</t>
  </si>
  <si>
    <t>043.XXX.XXX-16</t>
  </si>
  <si>
    <t>037.XXX.XXX-16</t>
  </si>
  <si>
    <t>Gerente – Nível III</t>
  </si>
  <si>
    <t>Gerente de Avaliação e Credenciamento</t>
  </si>
  <si>
    <t>029.XXX.XXX-12</t>
  </si>
  <si>
    <t>Gerente de Negócios e Monitoramento</t>
  </si>
  <si>
    <t>691.XXX.XXX-91</t>
  </si>
  <si>
    <t>544.XXX.XXX-15</t>
  </si>
  <si>
    <t>267.XXX.XXX-72</t>
  </si>
  <si>
    <t>Assessora de Controle Interno</t>
  </si>
  <si>
    <t>306.XXX.XXX-49</t>
  </si>
  <si>
    <t>Analista Técnico III – Nível IV</t>
  </si>
  <si>
    <t>Analista de Recursos Humanos</t>
  </si>
  <si>
    <t>195.XXX.XXX-68</t>
  </si>
  <si>
    <t>093.XXX.XXX-36</t>
  </si>
  <si>
    <t>355.XXX.XXX-00</t>
  </si>
  <si>
    <t>022.XXX.XXX-69</t>
  </si>
  <si>
    <t>Assessor I – Nível II</t>
  </si>
  <si>
    <t>Assessor Administrativo Financeiro</t>
  </si>
  <si>
    <t>079.XXX.XXX-96</t>
  </si>
  <si>
    <t>077.XXX.XXX-98</t>
  </si>
  <si>
    <t>DIRIGENTES</t>
  </si>
  <si>
    <t>144.XXX.XXX-20</t>
  </si>
  <si>
    <t>Presidente</t>
  </si>
  <si>
    <t>135.XXX.XXX-54</t>
  </si>
  <si>
    <t>-</t>
  </si>
  <si>
    <t>Diretora de Transferência de Tecnologia</t>
  </si>
  <si>
    <t>Cargo concomitante ANATER e EMBRAPA - vencimentos recebidos pela Fonte Pagadora EMBRAPA</t>
  </si>
  <si>
    <t>NA</t>
  </si>
  <si>
    <t>976.XXX.XXX-00</t>
  </si>
  <si>
    <t>Diretor Administrativo Financeiro</t>
  </si>
  <si>
    <t>020.XXX.XXX-21</t>
  </si>
  <si>
    <t>Diretor de Tecnologia</t>
  </si>
  <si>
    <t>ADICIONAIS (GRATIFICAÇÃO ANUAL)</t>
  </si>
  <si>
    <t>Chefe de Gabinete</t>
  </si>
  <si>
    <t>Analista Técnico I - Nível I</t>
  </si>
  <si>
    <t>ADICIONAIS (FÉRIAS, 13º, OUTROS)</t>
  </si>
  <si>
    <t>Assistente Administrativo III – Nível V</t>
  </si>
  <si>
    <t>PESSOAL - REMUNERAÇÃO - DEZEMBRO/2022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</si>
</sst>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44" fontId="2" fillId="0" borderId="6" xfId="1" applyFont="1" applyBorder="1" applyAlignment="1">
      <alignment horizontal="center" vertical="center"/>
    </xf>
    <xf numFmtId="44" fontId="2" fillId="0" borderId="6" xfId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44" fontId="5" fillId="0" borderId="7" xfId="1" applyFont="1" applyFill="1" applyBorder="1" applyAlignment="1">
      <alignment vertical="center" wrapText="1"/>
    </xf>
    <xf numFmtId="44" fontId="5" fillId="0" borderId="7" xfId="1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44" fontId="0" fillId="0" borderId="0" xfId="1" applyFont="1"/>
    <xf numFmtId="44" fontId="0" fillId="0" borderId="0" xfId="1" applyFont="1" applyAlignment="1">
      <alignment horizontal="center"/>
    </xf>
    <xf numFmtId="0" fontId="4" fillId="0" borderId="0" xfId="0" applyFont="1" applyFill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44" fontId="2" fillId="0" borderId="7" xfId="1" applyFont="1" applyBorder="1" applyAlignment="1">
      <alignment horizontal="center" vertical="center"/>
    </xf>
    <xf numFmtId="44" fontId="5" fillId="0" borderId="0" xfId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44" fontId="0" fillId="0" borderId="0" xfId="1" applyFont="1" applyFill="1"/>
    <xf numFmtId="0" fontId="2" fillId="0" borderId="6" xfId="0" applyFont="1" applyFill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/>
    </xf>
    <xf numFmtId="8" fontId="5" fillId="0" borderId="7" xfId="1" applyNumberFormat="1" applyFont="1" applyFill="1" applyBorder="1" applyAlignment="1">
      <alignment horizontal="center" vertical="center" wrapText="1"/>
    </xf>
    <xf numFmtId="44" fontId="0" fillId="0" borderId="0" xfId="0" applyNumberFormat="1"/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4" fontId="2" fillId="0" borderId="6" xfId="1" applyFont="1" applyBorder="1" applyAlignment="1">
      <alignment horizontal="center" vertical="center" wrapText="1"/>
    </xf>
    <xf numFmtId="44" fontId="0" fillId="0" borderId="7" xfId="1" applyFont="1" applyBorder="1" applyAlignment="1">
      <alignment horizontal="center" vertical="center" wrapText="1"/>
    </xf>
    <xf numFmtId="44" fontId="2" fillId="0" borderId="10" xfId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4" fontId="2" fillId="0" borderId="3" xfId="1" applyFont="1" applyBorder="1" applyAlignment="1">
      <alignment horizontal="center" vertical="center" wrapText="1"/>
    </xf>
    <xf numFmtId="44" fontId="0" fillId="0" borderId="6" xfId="1" applyFont="1" applyBorder="1" applyAlignment="1">
      <alignment horizontal="center" vertical="center" wrapText="1"/>
    </xf>
    <xf numFmtId="44" fontId="2" fillId="0" borderId="3" xfId="1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tabSelected="1" topLeftCell="A38" workbookViewId="0">
      <selection activeCell="E50" sqref="E50"/>
    </sheetView>
  </sheetViews>
  <sheetFormatPr defaultRowHeight="15" x14ac:dyDescent="0.25"/>
  <cols>
    <col min="1" max="1" width="18" style="8" customWidth="1"/>
    <col min="2" max="2" width="12.7109375" style="8" customWidth="1"/>
    <col min="3" max="3" width="43.42578125" customWidth="1"/>
    <col min="4" max="4" width="42.85546875" style="8" customWidth="1"/>
    <col min="5" max="5" width="14.85546875" style="9" customWidth="1"/>
    <col min="6" max="6" width="14.140625" style="16" customWidth="1"/>
    <col min="7" max="7" width="14.42578125" style="10" bestFit="1" customWidth="1"/>
    <col min="8" max="8" width="16" style="10" customWidth="1"/>
    <col min="9" max="9" width="13" style="10" customWidth="1"/>
    <col min="10" max="10" width="17.85546875" style="10" customWidth="1"/>
    <col min="12" max="12" width="12.140625" bestFit="1" customWidth="1"/>
  </cols>
  <sheetData>
    <row r="1" spans="1:12" ht="47.25" customHeight="1" x14ac:dyDescent="0.25">
      <c r="A1" s="28" t="s">
        <v>105</v>
      </c>
      <c r="B1" s="28"/>
      <c r="C1" s="28"/>
      <c r="D1" s="28"/>
      <c r="E1" s="28"/>
      <c r="F1" s="28"/>
      <c r="G1" s="28"/>
      <c r="H1" s="28"/>
      <c r="I1" s="28"/>
      <c r="J1" s="28"/>
    </row>
    <row r="2" spans="1:12" ht="42" customHeight="1" x14ac:dyDescent="0.25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</row>
    <row r="3" spans="1:12" ht="28.5" customHeight="1" x14ac:dyDescent="0.25">
      <c r="A3" s="30" t="s">
        <v>1</v>
      </c>
      <c r="B3" s="30" t="s">
        <v>2</v>
      </c>
      <c r="C3" s="30" t="s">
        <v>3</v>
      </c>
      <c r="D3" s="30" t="s">
        <v>4</v>
      </c>
      <c r="E3" s="32" t="s">
        <v>5</v>
      </c>
      <c r="F3" s="34" t="s">
        <v>103</v>
      </c>
      <c r="G3" s="36" t="s">
        <v>6</v>
      </c>
      <c r="H3" s="37"/>
      <c r="I3" s="38"/>
      <c r="J3" s="32" t="s">
        <v>7</v>
      </c>
    </row>
    <row r="4" spans="1:12" ht="28.5" customHeight="1" x14ac:dyDescent="0.25">
      <c r="A4" s="31"/>
      <c r="B4" s="31"/>
      <c r="C4" s="31"/>
      <c r="D4" s="23"/>
      <c r="E4" s="33"/>
      <c r="F4" s="35"/>
      <c r="G4" s="1" t="s">
        <v>8</v>
      </c>
      <c r="H4" s="1" t="s">
        <v>9</v>
      </c>
      <c r="I4" s="2" t="s">
        <v>10</v>
      </c>
      <c r="J4" s="33"/>
    </row>
    <row r="5" spans="1:12" ht="27.75" customHeight="1" x14ac:dyDescent="0.25">
      <c r="A5" s="3" t="s">
        <v>13</v>
      </c>
      <c r="B5" s="3">
        <v>127</v>
      </c>
      <c r="C5" s="4" t="s">
        <v>104</v>
      </c>
      <c r="D5" s="4" t="s">
        <v>14</v>
      </c>
      <c r="E5" s="5">
        <f>3477.34-31.61</f>
        <v>3445.73</v>
      </c>
      <c r="F5" s="5">
        <v>1738.67</v>
      </c>
      <c r="G5" s="6">
        <f>322.48+326.27</f>
        <v>648.75</v>
      </c>
      <c r="H5" s="6">
        <f>113.69+117.86</f>
        <v>231.55</v>
      </c>
      <c r="I5" s="6">
        <v>0</v>
      </c>
      <c r="J5" s="6">
        <f t="shared" ref="J5:J45" si="0">E5+F5-G5-H5-I5</f>
        <v>4304.0999999999995</v>
      </c>
    </row>
    <row r="6" spans="1:12" ht="27" customHeight="1" x14ac:dyDescent="0.25">
      <c r="A6" s="3" t="s">
        <v>15</v>
      </c>
      <c r="B6" s="3">
        <v>67</v>
      </c>
      <c r="C6" s="4" t="s">
        <v>11</v>
      </c>
      <c r="D6" s="4" t="s">
        <v>16</v>
      </c>
      <c r="E6" s="5">
        <f>9483.66-47.42</f>
        <v>9436.24</v>
      </c>
      <c r="F6" s="5">
        <v>4741.83</v>
      </c>
      <c r="G6" s="6">
        <f>828.38*2</f>
        <v>1656.76</v>
      </c>
      <c r="H6" s="6">
        <f>1497.8+1510.84</f>
        <v>3008.64</v>
      </c>
      <c r="I6" s="6">
        <v>0</v>
      </c>
      <c r="J6" s="6">
        <f t="shared" si="0"/>
        <v>9512.67</v>
      </c>
    </row>
    <row r="7" spans="1:12" ht="27" customHeight="1" x14ac:dyDescent="0.25">
      <c r="A7" s="3" t="s">
        <v>17</v>
      </c>
      <c r="B7" s="3">
        <v>102</v>
      </c>
      <c r="C7" s="4" t="s">
        <v>18</v>
      </c>
      <c r="D7" s="4" t="s">
        <v>19</v>
      </c>
      <c r="E7" s="5">
        <v>3793.46</v>
      </c>
      <c r="F7" s="5">
        <f>1896.73+5690.2+284.42+4741.83</f>
        <v>12613.18</v>
      </c>
      <c r="G7" s="6">
        <f>745.54+364.26+828.38</f>
        <v>1938.1799999999998</v>
      </c>
      <c r="H7" s="6">
        <f>1312.83+173.35+1458.7</f>
        <v>2944.88</v>
      </c>
      <c r="I7" s="6">
        <v>0</v>
      </c>
      <c r="J7" s="6">
        <f t="shared" si="0"/>
        <v>11523.579999999998</v>
      </c>
    </row>
    <row r="8" spans="1:12" ht="27" customHeight="1" x14ac:dyDescent="0.25">
      <c r="A8" s="3" t="s">
        <v>20</v>
      </c>
      <c r="B8" s="3">
        <v>91</v>
      </c>
      <c r="C8" s="4" t="s">
        <v>11</v>
      </c>
      <c r="D8" s="4" t="s">
        <v>21</v>
      </c>
      <c r="E8" s="5">
        <f>9483.66-71.13</f>
        <v>9412.5300000000007</v>
      </c>
      <c r="F8" s="5">
        <v>4741.83</v>
      </c>
      <c r="G8" s="6">
        <f>828.38*2</f>
        <v>1656.76</v>
      </c>
      <c r="H8" s="6">
        <f>1334.87+1354.43</f>
        <v>2689.3</v>
      </c>
      <c r="I8" s="6">
        <v>0</v>
      </c>
      <c r="J8" s="6">
        <f t="shared" si="0"/>
        <v>9808.2999999999993</v>
      </c>
    </row>
    <row r="9" spans="1:12" ht="27" customHeight="1" x14ac:dyDescent="0.25">
      <c r="A9" s="3" t="s">
        <v>22</v>
      </c>
      <c r="B9" s="3">
        <v>33</v>
      </c>
      <c r="C9" s="4" t="s">
        <v>11</v>
      </c>
      <c r="D9" s="4" t="s">
        <v>16</v>
      </c>
      <c r="E9" s="5">
        <f>9483.66-94.79</f>
        <v>9388.869999999999</v>
      </c>
      <c r="F9" s="5">
        <v>4741.83</v>
      </c>
      <c r="G9" s="6">
        <f>828.38*2</f>
        <v>1656.76</v>
      </c>
      <c r="H9" s="6">
        <f>1432.64+1458.7</f>
        <v>2891.34</v>
      </c>
      <c r="I9" s="6">
        <v>0</v>
      </c>
      <c r="J9" s="6">
        <f t="shared" si="0"/>
        <v>9582.5999999999985</v>
      </c>
    </row>
    <row r="10" spans="1:12" ht="27" customHeight="1" x14ac:dyDescent="0.25">
      <c r="A10" s="3" t="s">
        <v>23</v>
      </c>
      <c r="B10" s="3">
        <v>83</v>
      </c>
      <c r="C10" s="4" t="s">
        <v>24</v>
      </c>
      <c r="D10" s="4" t="s">
        <v>25</v>
      </c>
      <c r="E10" s="5">
        <v>5530.44</v>
      </c>
      <c r="F10" s="5">
        <v>2765.38</v>
      </c>
      <c r="G10" s="6">
        <f>610.48*2</f>
        <v>1220.96</v>
      </c>
      <c r="H10" s="6">
        <f>347.46+483.71</f>
        <v>831.17</v>
      </c>
      <c r="I10" s="6">
        <f>548.74+532.39</f>
        <v>1081.1300000000001</v>
      </c>
      <c r="J10" s="6">
        <f t="shared" si="0"/>
        <v>5162.5599999999995</v>
      </c>
    </row>
    <row r="11" spans="1:12" ht="27" customHeight="1" x14ac:dyDescent="0.25">
      <c r="A11" s="3" t="s">
        <v>26</v>
      </c>
      <c r="B11" s="3">
        <v>97</v>
      </c>
      <c r="C11" s="4" t="s">
        <v>27</v>
      </c>
      <c r="D11" s="4" t="s">
        <v>28</v>
      </c>
      <c r="E11" s="5">
        <v>15054.4</v>
      </c>
      <c r="F11" s="5">
        <v>7527.2</v>
      </c>
      <c r="G11" s="6">
        <v>828.38</v>
      </c>
      <c r="H11" s="6">
        <v>3042.8</v>
      </c>
      <c r="I11" s="6">
        <v>0</v>
      </c>
      <c r="J11" s="6">
        <f t="shared" si="0"/>
        <v>18710.419999999998</v>
      </c>
    </row>
    <row r="12" spans="1:12" ht="27" customHeight="1" x14ac:dyDescent="0.25">
      <c r="A12" s="3" t="s">
        <v>29</v>
      </c>
      <c r="B12" s="3">
        <v>28</v>
      </c>
      <c r="C12" s="4" t="s">
        <v>11</v>
      </c>
      <c r="D12" s="4" t="s">
        <v>12</v>
      </c>
      <c r="E12" s="5">
        <v>6322.44</v>
      </c>
      <c r="F12" s="5">
        <f>1053.74+3161.22+1053.74+3161.22+307.12+4741.83</f>
        <v>13478.87</v>
      </c>
      <c r="G12" s="6">
        <f>828.3841419+721.31</f>
        <v>1549.6941419</v>
      </c>
      <c r="H12" s="6">
        <f>677.21+599+1354.43</f>
        <v>2630.6400000000003</v>
      </c>
      <c r="I12" s="6">
        <v>0</v>
      </c>
      <c r="J12" s="6">
        <f t="shared" si="0"/>
        <v>15620.975858100002</v>
      </c>
    </row>
    <row r="13" spans="1:12" ht="27" customHeight="1" x14ac:dyDescent="0.25">
      <c r="A13" s="3" t="s">
        <v>30</v>
      </c>
      <c r="B13" s="3">
        <v>134</v>
      </c>
      <c r="C13" s="4" t="s">
        <v>31</v>
      </c>
      <c r="D13" s="4" t="s">
        <v>32</v>
      </c>
      <c r="E13" s="5">
        <v>6269.82</v>
      </c>
      <c r="F13" s="5">
        <v>3134.91</v>
      </c>
      <c r="G13" s="6">
        <f>713.95+713.95</f>
        <v>1427.9</v>
      </c>
      <c r="H13" s="6">
        <f>606.37*2</f>
        <v>1212.74</v>
      </c>
      <c r="I13" s="6">
        <v>0</v>
      </c>
      <c r="J13" s="6">
        <f t="shared" si="0"/>
        <v>6764.09</v>
      </c>
    </row>
    <row r="14" spans="1:12" ht="27" customHeight="1" x14ac:dyDescent="0.25">
      <c r="A14" s="3" t="s">
        <v>33</v>
      </c>
      <c r="B14" s="3">
        <v>87</v>
      </c>
      <c r="C14" s="4" t="s">
        <v>11</v>
      </c>
      <c r="D14" s="4" t="s">
        <v>62</v>
      </c>
      <c r="E14" s="5">
        <v>9483.66</v>
      </c>
      <c r="F14" s="5">
        <v>6338.75</v>
      </c>
      <c r="G14" s="6">
        <f>828.38*2</f>
        <v>1656.76</v>
      </c>
      <c r="H14" s="6">
        <f>1510.84*2</f>
        <v>3021.68</v>
      </c>
      <c r="I14" s="6">
        <v>0</v>
      </c>
      <c r="J14" s="6">
        <f t="shared" si="0"/>
        <v>11143.97</v>
      </c>
    </row>
    <row r="15" spans="1:12" ht="27" customHeight="1" x14ac:dyDescent="0.25">
      <c r="A15" s="3" t="s">
        <v>35</v>
      </c>
      <c r="B15" s="3">
        <v>110</v>
      </c>
      <c r="C15" s="4" t="s">
        <v>36</v>
      </c>
      <c r="D15" s="4" t="s">
        <v>32</v>
      </c>
      <c r="E15" s="5">
        <v>7056.73</v>
      </c>
      <c r="F15" s="5">
        <v>3528.37</v>
      </c>
      <c r="G15" s="6">
        <f>824.11*2</f>
        <v>1648.22</v>
      </c>
      <c r="H15" s="6">
        <f>792.47*2</f>
        <v>1584.94</v>
      </c>
      <c r="I15" s="6">
        <v>0</v>
      </c>
      <c r="J15" s="6">
        <f t="shared" si="0"/>
        <v>7351.9399999999987</v>
      </c>
    </row>
    <row r="16" spans="1:12" ht="27" customHeight="1" x14ac:dyDescent="0.25">
      <c r="A16" s="3" t="s">
        <v>37</v>
      </c>
      <c r="B16" s="3">
        <v>139</v>
      </c>
      <c r="C16" s="4" t="s">
        <v>102</v>
      </c>
      <c r="D16" s="4" t="s">
        <v>21</v>
      </c>
      <c r="E16" s="5">
        <f>6269.82-42.75</f>
        <v>6227.07</v>
      </c>
      <c r="F16" s="5">
        <f>5224.85-1448.89</f>
        <v>3775.96</v>
      </c>
      <c r="G16" s="6">
        <f>707.96+567.65</f>
        <v>1275.6100000000001</v>
      </c>
      <c r="H16" s="6">
        <f>596.26+369.08</f>
        <v>965.33999999999992</v>
      </c>
      <c r="I16" s="6">
        <f>1241.4+1072.03</f>
        <v>2313.4300000000003</v>
      </c>
      <c r="J16" s="6">
        <f t="shared" si="0"/>
        <v>5448.6499999999978</v>
      </c>
      <c r="L16" s="20"/>
    </row>
    <row r="17" spans="1:10" ht="27" customHeight="1" x14ac:dyDescent="0.25">
      <c r="A17" s="3" t="s">
        <v>38</v>
      </c>
      <c r="B17" s="3">
        <v>107</v>
      </c>
      <c r="C17" s="4" t="s">
        <v>31</v>
      </c>
      <c r="D17" s="4" t="s">
        <v>39</v>
      </c>
      <c r="E17" s="5">
        <v>6269.82</v>
      </c>
      <c r="F17" s="5">
        <v>3134.91</v>
      </c>
      <c r="G17" s="6">
        <f>713.95+713.95</f>
        <v>1427.9</v>
      </c>
      <c r="H17" s="6">
        <f>658.5*2</f>
        <v>1317</v>
      </c>
      <c r="I17" s="6">
        <v>0</v>
      </c>
      <c r="J17" s="6">
        <f t="shared" si="0"/>
        <v>6659.83</v>
      </c>
    </row>
    <row r="18" spans="1:10" ht="27" customHeight="1" x14ac:dyDescent="0.25">
      <c r="A18" s="3" t="s">
        <v>40</v>
      </c>
      <c r="B18" s="3">
        <v>76</v>
      </c>
      <c r="C18" s="4" t="s">
        <v>18</v>
      </c>
      <c r="D18" s="4" t="s">
        <v>16</v>
      </c>
      <c r="E18" s="5">
        <v>9483.66</v>
      </c>
      <c r="F18" s="5">
        <v>4741.83</v>
      </c>
      <c r="G18" s="6">
        <f>828.38*2</f>
        <v>1656.76</v>
      </c>
      <c r="H18" s="6">
        <f>1354.43*2</f>
        <v>2708.86</v>
      </c>
      <c r="I18" s="6">
        <v>0</v>
      </c>
      <c r="J18" s="6">
        <f t="shared" si="0"/>
        <v>9859.869999999999</v>
      </c>
    </row>
    <row r="19" spans="1:10" ht="27.75" customHeight="1" x14ac:dyDescent="0.25">
      <c r="A19" s="3" t="s">
        <v>41</v>
      </c>
      <c r="B19" s="3">
        <v>101</v>
      </c>
      <c r="C19" s="4" t="s">
        <v>64</v>
      </c>
      <c r="D19" s="4" t="s">
        <v>72</v>
      </c>
      <c r="E19" s="5">
        <v>12545.33</v>
      </c>
      <c r="F19" s="5">
        <f>836.36+2509.07+1672.71+5018.13+207.09+7527.2</f>
        <v>17770.560000000001</v>
      </c>
      <c r="G19" s="6">
        <f>207.09+828.38+828.38</f>
        <v>1863.85</v>
      </c>
      <c r="H19" s="6">
        <f>760.7+2409.75+3042.8</f>
        <v>6213.25</v>
      </c>
      <c r="I19" s="6">
        <v>0</v>
      </c>
      <c r="J19" s="6">
        <f t="shared" si="0"/>
        <v>22238.79</v>
      </c>
    </row>
    <row r="20" spans="1:10" ht="27" customHeight="1" x14ac:dyDescent="0.25">
      <c r="A20" s="3" t="s">
        <v>44</v>
      </c>
      <c r="B20" s="3">
        <v>137</v>
      </c>
      <c r="C20" s="4" t="s">
        <v>45</v>
      </c>
      <c r="D20" s="4" t="s">
        <v>46</v>
      </c>
      <c r="E20" s="5">
        <f>13375.65-60.8</f>
        <v>13314.85</v>
      </c>
      <c r="F20" s="5">
        <f>12261.01-6130.51</f>
        <v>6130.5</v>
      </c>
      <c r="G20" s="6">
        <f>828.38*2</f>
        <v>1656.76</v>
      </c>
      <c r="H20" s="6">
        <f>2564.72+2274.61</f>
        <v>4839.33</v>
      </c>
      <c r="I20" s="6">
        <v>0</v>
      </c>
      <c r="J20" s="6">
        <f t="shared" si="0"/>
        <v>12949.26</v>
      </c>
    </row>
    <row r="21" spans="1:10" ht="27" customHeight="1" x14ac:dyDescent="0.25">
      <c r="A21" s="3" t="s">
        <v>47</v>
      </c>
      <c r="B21" s="3">
        <v>50</v>
      </c>
      <c r="C21" s="4" t="s">
        <v>18</v>
      </c>
      <c r="D21" s="7" t="s">
        <v>21</v>
      </c>
      <c r="E21" s="5">
        <f>9483.66-23.71</f>
        <v>9459.9500000000007</v>
      </c>
      <c r="F21" s="5">
        <v>4741.83</v>
      </c>
      <c r="G21" s="6">
        <f>828.38*2</f>
        <v>1656.76</v>
      </c>
      <c r="H21" s="6">
        <f>1504.32+1510.84</f>
        <v>3015.16</v>
      </c>
      <c r="I21" s="6">
        <v>0</v>
      </c>
      <c r="J21" s="6">
        <f t="shared" si="0"/>
        <v>9529.86</v>
      </c>
    </row>
    <row r="22" spans="1:10" ht="27" customHeight="1" x14ac:dyDescent="0.25">
      <c r="A22" s="3" t="s">
        <v>48</v>
      </c>
      <c r="B22" s="3">
        <v>27</v>
      </c>
      <c r="C22" s="4" t="s">
        <v>18</v>
      </c>
      <c r="D22" s="4" t="s">
        <v>21</v>
      </c>
      <c r="E22" s="5">
        <v>9483.66</v>
      </c>
      <c r="F22" s="5">
        <v>4741.83</v>
      </c>
      <c r="G22" s="6">
        <f>828.38*2</f>
        <v>1656.76</v>
      </c>
      <c r="H22" s="6">
        <f>1458.7*2</f>
        <v>2917.4</v>
      </c>
      <c r="I22" s="6">
        <v>0</v>
      </c>
      <c r="J22" s="6">
        <f t="shared" si="0"/>
        <v>9651.33</v>
      </c>
    </row>
    <row r="23" spans="1:10" ht="27" customHeight="1" x14ac:dyDescent="0.25">
      <c r="A23" s="3" t="s">
        <v>49</v>
      </c>
      <c r="B23" s="3">
        <v>65</v>
      </c>
      <c r="C23" s="4" t="s">
        <v>50</v>
      </c>
      <c r="D23" s="4" t="s">
        <v>51</v>
      </c>
      <c r="E23" s="5">
        <v>15054.4</v>
      </c>
      <c r="F23" s="5">
        <v>7527.2</v>
      </c>
      <c r="G23" s="6">
        <f>828.38*2</f>
        <v>1656.76</v>
      </c>
      <c r="H23" s="6">
        <f>2990.66*2</f>
        <v>5981.32</v>
      </c>
      <c r="I23" s="6">
        <v>0</v>
      </c>
      <c r="J23" s="6">
        <f t="shared" si="0"/>
        <v>14943.52</v>
      </c>
    </row>
    <row r="24" spans="1:10" ht="27" customHeight="1" x14ac:dyDescent="0.25">
      <c r="A24" s="3" t="s">
        <v>52</v>
      </c>
      <c r="B24" s="3">
        <v>129</v>
      </c>
      <c r="C24" s="4" t="s">
        <v>45</v>
      </c>
      <c r="D24" s="4" t="s">
        <v>46</v>
      </c>
      <c r="E24" s="5">
        <f>8471.24</f>
        <v>8471.24</v>
      </c>
      <c r="F24" s="5">
        <f>1634.8+4904.41+751.66+6687.83</f>
        <v>13978.7</v>
      </c>
      <c r="G24" s="6">
        <f>751.66+828.38+828.38</f>
        <v>2408.42</v>
      </c>
      <c r="H24" s="6">
        <f>722.22+1439.13+2581.14</f>
        <v>4742.49</v>
      </c>
      <c r="I24" s="6">
        <v>0</v>
      </c>
      <c r="J24" s="6">
        <f t="shared" si="0"/>
        <v>15299.030000000004</v>
      </c>
    </row>
    <row r="25" spans="1:10" ht="27" customHeight="1" x14ac:dyDescent="0.25">
      <c r="A25" s="3" t="s">
        <v>53</v>
      </c>
      <c r="B25" s="3">
        <v>106</v>
      </c>
      <c r="C25" s="4" t="s">
        <v>18</v>
      </c>
      <c r="D25" s="4" t="s">
        <v>16</v>
      </c>
      <c r="E25" s="5">
        <v>9483.66</v>
      </c>
      <c r="F25" s="5">
        <v>4741.83</v>
      </c>
      <c r="G25" s="6">
        <f>828.38*2</f>
        <v>1656.76</v>
      </c>
      <c r="H25" s="6">
        <f>1458.7*2</f>
        <v>2917.4</v>
      </c>
      <c r="I25" s="6">
        <v>0</v>
      </c>
      <c r="J25" s="6">
        <f t="shared" si="0"/>
        <v>9651.33</v>
      </c>
    </row>
    <row r="26" spans="1:10" ht="27" customHeight="1" x14ac:dyDescent="0.25">
      <c r="A26" s="3" t="s">
        <v>54</v>
      </c>
      <c r="B26" s="3">
        <v>135</v>
      </c>
      <c r="C26" s="4" t="s">
        <v>11</v>
      </c>
      <c r="D26" s="4" t="s">
        <v>55</v>
      </c>
      <c r="E26" s="5">
        <v>9483.66</v>
      </c>
      <c r="F26" s="5">
        <v>4741.83</v>
      </c>
      <c r="G26" s="6">
        <f>828.38*2</f>
        <v>1656.76</v>
      </c>
      <c r="H26" s="6">
        <f>1510.84*2</f>
        <v>3021.68</v>
      </c>
      <c r="I26" s="6">
        <v>0</v>
      </c>
      <c r="J26" s="6">
        <f t="shared" si="0"/>
        <v>9547.0499999999993</v>
      </c>
    </row>
    <row r="27" spans="1:10" ht="27" customHeight="1" x14ac:dyDescent="0.25">
      <c r="A27" s="3" t="s">
        <v>56</v>
      </c>
      <c r="B27" s="3">
        <v>53</v>
      </c>
      <c r="C27" s="4" t="s">
        <v>27</v>
      </c>
      <c r="D27" s="4" t="s">
        <v>57</v>
      </c>
      <c r="E27" s="5">
        <v>15054.4</v>
      </c>
      <c r="F27" s="5">
        <v>7527.2</v>
      </c>
      <c r="G27" s="6">
        <f>828.38*2</f>
        <v>1656.76</v>
      </c>
      <c r="H27" s="6">
        <f>3042.8*2</f>
        <v>6085.6</v>
      </c>
      <c r="I27" s="6">
        <v>0</v>
      </c>
      <c r="J27" s="6">
        <f t="shared" si="0"/>
        <v>14839.24</v>
      </c>
    </row>
    <row r="28" spans="1:10" ht="27" customHeight="1" x14ac:dyDescent="0.25">
      <c r="A28" s="3" t="s">
        <v>58</v>
      </c>
      <c r="B28" s="3">
        <v>120</v>
      </c>
      <c r="C28" s="4" t="s">
        <v>11</v>
      </c>
      <c r="D28" s="4" t="s">
        <v>34</v>
      </c>
      <c r="E28" s="5">
        <f>9483.66-86.22</f>
        <v>9397.44</v>
      </c>
      <c r="F28" s="5">
        <v>5955.29</v>
      </c>
      <c r="G28" s="6">
        <f>828.38*2</f>
        <v>1656.76</v>
      </c>
      <c r="H28" s="6">
        <f>1487.13+1510.84</f>
        <v>2997.9700000000003</v>
      </c>
      <c r="I28" s="6">
        <v>0</v>
      </c>
      <c r="J28" s="6">
        <f t="shared" si="0"/>
        <v>10698</v>
      </c>
    </row>
    <row r="29" spans="1:10" ht="27" customHeight="1" x14ac:dyDescent="0.25">
      <c r="A29" s="3" t="s">
        <v>59</v>
      </c>
      <c r="B29" s="3">
        <v>49</v>
      </c>
      <c r="C29" s="4" t="s">
        <v>18</v>
      </c>
      <c r="D29" s="4" t="s">
        <v>21</v>
      </c>
      <c r="E29" s="5">
        <f>9483.66-71.13</f>
        <v>9412.5300000000007</v>
      </c>
      <c r="F29" s="5">
        <v>4741.83</v>
      </c>
      <c r="G29" s="6">
        <f>828.38*2</f>
        <v>1656.76</v>
      </c>
      <c r="H29" s="6">
        <f>1439.14+1458.7</f>
        <v>2897.84</v>
      </c>
      <c r="I29" s="6">
        <v>0</v>
      </c>
      <c r="J29" s="6">
        <f t="shared" si="0"/>
        <v>9599.76</v>
      </c>
    </row>
    <row r="30" spans="1:10" ht="27" customHeight="1" x14ac:dyDescent="0.25">
      <c r="A30" s="3" t="s">
        <v>60</v>
      </c>
      <c r="B30" s="3">
        <v>142</v>
      </c>
      <c r="C30" s="4" t="s">
        <v>61</v>
      </c>
      <c r="D30" s="4" t="s">
        <v>62</v>
      </c>
      <c r="E30" s="5">
        <v>7942.41</v>
      </c>
      <c r="F30" s="5">
        <f>5956.81-2978.4</f>
        <v>2978.4100000000003</v>
      </c>
      <c r="G30" s="6">
        <f>828.38+670.12</f>
        <v>1498.5</v>
      </c>
      <c r="H30" s="6">
        <f>1034.86+532.34</f>
        <v>1567.1999999999998</v>
      </c>
      <c r="I30" s="6">
        <v>0</v>
      </c>
      <c r="J30" s="6">
        <f t="shared" si="0"/>
        <v>7855.12</v>
      </c>
    </row>
    <row r="31" spans="1:10" ht="27" customHeight="1" x14ac:dyDescent="0.25">
      <c r="A31" s="3" t="s">
        <v>63</v>
      </c>
      <c r="B31" s="3">
        <v>140</v>
      </c>
      <c r="C31" s="4" t="s">
        <v>64</v>
      </c>
      <c r="D31" s="4" t="s">
        <v>65</v>
      </c>
      <c r="E31" s="5">
        <f>15054.4</f>
        <v>15054.4</v>
      </c>
      <c r="F31" s="5">
        <f>12545.33-6272.67</f>
        <v>6272.66</v>
      </c>
      <c r="G31" s="6">
        <f>828.38*2</f>
        <v>1656.76</v>
      </c>
      <c r="H31" s="6">
        <f>2990.66+2300.66</f>
        <v>5291.32</v>
      </c>
      <c r="I31" s="6">
        <v>0</v>
      </c>
      <c r="J31" s="6">
        <f t="shared" si="0"/>
        <v>14378.98</v>
      </c>
    </row>
    <row r="32" spans="1:10" ht="27" customHeight="1" x14ac:dyDescent="0.25">
      <c r="A32" s="3" t="s">
        <v>66</v>
      </c>
      <c r="B32" s="3">
        <v>128</v>
      </c>
      <c r="C32" s="4" t="s">
        <v>42</v>
      </c>
      <c r="D32" s="4" t="s">
        <v>43</v>
      </c>
      <c r="E32" s="5">
        <f>732.83+122.14+1.63</f>
        <v>856.6</v>
      </c>
      <c r="F32" s="5">
        <f>697.08+139.41-58.16-290.79</f>
        <v>487.54</v>
      </c>
      <c r="G32" s="6">
        <f>64.12+0.12+62.73</f>
        <v>126.97</v>
      </c>
      <c r="H32" s="6">
        <v>0</v>
      </c>
      <c r="I32" s="6">
        <v>0</v>
      </c>
      <c r="J32" s="6">
        <f t="shared" si="0"/>
        <v>1217.17</v>
      </c>
    </row>
    <row r="33" spans="1:10" ht="27" customHeight="1" x14ac:dyDescent="0.25">
      <c r="A33" s="3" t="s">
        <v>67</v>
      </c>
      <c r="B33" s="3">
        <v>146</v>
      </c>
      <c r="C33" s="4" t="s">
        <v>104</v>
      </c>
      <c r="D33" s="4" t="s">
        <v>14</v>
      </c>
      <c r="E33" s="5">
        <f>2665.96+231.82+579.56</f>
        <v>3477.34</v>
      </c>
      <c r="F33" s="5">
        <f>2028.45-1014.22</f>
        <v>1014.23</v>
      </c>
      <c r="G33" s="6">
        <f>326.27+164.38</f>
        <v>490.65</v>
      </c>
      <c r="H33" s="6">
        <v>89.42</v>
      </c>
      <c r="I33" s="6">
        <v>0</v>
      </c>
      <c r="J33" s="6">
        <f t="shared" si="0"/>
        <v>3911.4999999999995</v>
      </c>
    </row>
    <row r="34" spans="1:10" ht="27" customHeight="1" x14ac:dyDescent="0.25">
      <c r="A34" s="3" t="s">
        <v>68</v>
      </c>
      <c r="B34" s="3">
        <v>138</v>
      </c>
      <c r="C34" s="4" t="s">
        <v>69</v>
      </c>
      <c r="D34" s="4" t="s">
        <v>70</v>
      </c>
      <c r="E34" s="5">
        <f>14050.77+1003.63-136.86</f>
        <v>14917.539999999999</v>
      </c>
      <c r="F34" s="5">
        <f>13799.87-6899.93</f>
        <v>6899.9400000000005</v>
      </c>
      <c r="G34" s="6">
        <f t="shared" ref="G34:G39" si="1">828.38*2</f>
        <v>1656.76</v>
      </c>
      <c r="H34" s="6">
        <f>3005.16+2697.8</f>
        <v>5702.96</v>
      </c>
      <c r="I34" s="6">
        <v>0</v>
      </c>
      <c r="J34" s="6">
        <f t="shared" si="0"/>
        <v>14457.760000000002</v>
      </c>
    </row>
    <row r="35" spans="1:10" ht="27" customHeight="1" x14ac:dyDescent="0.25">
      <c r="A35" s="3" t="s">
        <v>71</v>
      </c>
      <c r="B35" s="3">
        <v>80</v>
      </c>
      <c r="C35" s="4" t="s">
        <v>101</v>
      </c>
      <c r="D35" s="4" t="s">
        <v>101</v>
      </c>
      <c r="E35" s="5">
        <v>15054.4</v>
      </c>
      <c r="F35" s="5">
        <v>7527.2</v>
      </c>
      <c r="G35" s="6">
        <f t="shared" si="1"/>
        <v>1656.76</v>
      </c>
      <c r="H35" s="6">
        <f>3042.8*2</f>
        <v>6085.6</v>
      </c>
      <c r="I35" s="6">
        <v>0</v>
      </c>
      <c r="J35" s="6">
        <f t="shared" si="0"/>
        <v>14839.24</v>
      </c>
    </row>
    <row r="36" spans="1:10" ht="27" customHeight="1" x14ac:dyDescent="0.25">
      <c r="A36" s="3" t="s">
        <v>73</v>
      </c>
      <c r="B36" s="3">
        <v>36</v>
      </c>
      <c r="C36" s="4" t="s">
        <v>18</v>
      </c>
      <c r="D36" s="4" t="s">
        <v>21</v>
      </c>
      <c r="E36" s="5">
        <f>9483.66-23.7</f>
        <v>9459.9599999999991</v>
      </c>
      <c r="F36" s="5">
        <v>4741.83</v>
      </c>
      <c r="G36" s="6">
        <f t="shared" si="1"/>
        <v>1656.76</v>
      </c>
      <c r="H36" s="6">
        <f>1452.19+1458.7</f>
        <v>2910.8900000000003</v>
      </c>
      <c r="I36" s="6">
        <v>0</v>
      </c>
      <c r="J36" s="6">
        <f t="shared" si="0"/>
        <v>9634.14</v>
      </c>
    </row>
    <row r="37" spans="1:10" ht="27" customHeight="1" x14ac:dyDescent="0.25">
      <c r="A37" s="3" t="s">
        <v>74</v>
      </c>
      <c r="B37" s="3">
        <v>42</v>
      </c>
      <c r="C37" s="4" t="s">
        <v>18</v>
      </c>
      <c r="D37" s="7" t="s">
        <v>21</v>
      </c>
      <c r="E37" s="5">
        <f>9483.66-71.13</f>
        <v>9412.5300000000007</v>
      </c>
      <c r="F37" s="5">
        <v>4741.83</v>
      </c>
      <c r="G37" s="6">
        <f t="shared" si="1"/>
        <v>1656.76</v>
      </c>
      <c r="H37" s="6">
        <f>1491.28+1510.84</f>
        <v>3002.12</v>
      </c>
      <c r="I37" s="6">
        <v>0</v>
      </c>
      <c r="J37" s="6">
        <f t="shared" si="0"/>
        <v>9495.48</v>
      </c>
    </row>
    <row r="38" spans="1:10" ht="27" customHeight="1" x14ac:dyDescent="0.25">
      <c r="A38" s="3" t="s">
        <v>75</v>
      </c>
      <c r="B38" s="3">
        <v>122</v>
      </c>
      <c r="C38" s="4" t="s">
        <v>27</v>
      </c>
      <c r="D38" s="4" t="s">
        <v>76</v>
      </c>
      <c r="E38" s="5">
        <v>15054.4</v>
      </c>
      <c r="F38" s="5">
        <v>7527.2</v>
      </c>
      <c r="G38" s="6">
        <f t="shared" si="1"/>
        <v>1656.76</v>
      </c>
      <c r="H38" s="6">
        <f>3042.8*2</f>
        <v>6085.6</v>
      </c>
      <c r="I38" s="6">
        <v>0</v>
      </c>
      <c r="J38" s="6">
        <f t="shared" si="0"/>
        <v>14839.24</v>
      </c>
    </row>
    <row r="39" spans="1:10" ht="27" customHeight="1" x14ac:dyDescent="0.25">
      <c r="A39" s="3" t="s">
        <v>77</v>
      </c>
      <c r="B39" s="3">
        <v>136</v>
      </c>
      <c r="C39" s="4" t="s">
        <v>78</v>
      </c>
      <c r="D39" s="4" t="s">
        <v>79</v>
      </c>
      <c r="E39" s="5">
        <v>9207.44</v>
      </c>
      <c r="F39" s="5">
        <f>8440.15-4220.08</f>
        <v>4220.07</v>
      </c>
      <c r="G39" s="6">
        <f t="shared" si="1"/>
        <v>1656.76</v>
      </c>
      <c r="H39" s="6">
        <f>1434.88+1223.88</f>
        <v>2658.76</v>
      </c>
      <c r="I39" s="6">
        <v>0</v>
      </c>
      <c r="J39" s="6">
        <f t="shared" si="0"/>
        <v>9111.99</v>
      </c>
    </row>
    <row r="40" spans="1:10" ht="27" customHeight="1" x14ac:dyDescent="0.25">
      <c r="A40" s="3" t="s">
        <v>80</v>
      </c>
      <c r="B40" s="3">
        <v>145</v>
      </c>
      <c r="C40" s="4" t="s">
        <v>104</v>
      </c>
      <c r="D40" s="4" t="s">
        <v>14</v>
      </c>
      <c r="E40" s="5">
        <v>3477.34</v>
      </c>
      <c r="F40" s="5">
        <f>2318.23-1159.11</f>
        <v>1159.1200000000001</v>
      </c>
      <c r="G40" s="6">
        <f>326.27+190.46</f>
        <v>516.73</v>
      </c>
      <c r="H40" s="6">
        <v>65.09</v>
      </c>
      <c r="I40" s="6">
        <v>0</v>
      </c>
      <c r="J40" s="6">
        <f t="shared" si="0"/>
        <v>4054.6399999999994</v>
      </c>
    </row>
    <row r="41" spans="1:10" ht="27" customHeight="1" x14ac:dyDescent="0.25">
      <c r="A41" s="3" t="s">
        <v>81</v>
      </c>
      <c r="B41" s="3">
        <v>58</v>
      </c>
      <c r="C41" s="4" t="s">
        <v>18</v>
      </c>
      <c r="D41" s="4" t="s">
        <v>16</v>
      </c>
      <c r="E41" s="5">
        <f>9483.66-94.84</f>
        <v>9388.82</v>
      </c>
      <c r="F41" s="5">
        <v>4741.83</v>
      </c>
      <c r="G41" s="6">
        <f>828.38*2</f>
        <v>1656.76</v>
      </c>
      <c r="H41" s="6">
        <f>1484.76+1510.84</f>
        <v>2995.6</v>
      </c>
      <c r="I41" s="6">
        <v>0</v>
      </c>
      <c r="J41" s="6">
        <f t="shared" si="0"/>
        <v>9478.2899999999991</v>
      </c>
    </row>
    <row r="42" spans="1:10" ht="27" customHeight="1" x14ac:dyDescent="0.25">
      <c r="A42" s="3" t="s">
        <v>82</v>
      </c>
      <c r="B42" s="3">
        <v>141</v>
      </c>
      <c r="C42" s="4" t="s">
        <v>18</v>
      </c>
      <c r="D42" s="4" t="s">
        <v>34</v>
      </c>
      <c r="E42" s="5">
        <f>9483.66-86.22</f>
        <v>9397.44</v>
      </c>
      <c r="F42" s="5">
        <f>7112.75-3556.37</f>
        <v>3556.38</v>
      </c>
      <c r="G42" s="6">
        <f>828.38*2</f>
        <v>1656.76</v>
      </c>
      <c r="H42" s="6">
        <f>1487.13+858.84</f>
        <v>2345.9700000000003</v>
      </c>
      <c r="I42" s="6">
        <v>0</v>
      </c>
      <c r="J42" s="6">
        <f t="shared" si="0"/>
        <v>8951.09</v>
      </c>
    </row>
    <row r="43" spans="1:10" ht="27" customHeight="1" x14ac:dyDescent="0.25">
      <c r="A43" s="3" t="s">
        <v>83</v>
      </c>
      <c r="B43" s="3">
        <v>133</v>
      </c>
      <c r="C43" s="4" t="s">
        <v>84</v>
      </c>
      <c r="D43" s="4" t="s">
        <v>85</v>
      </c>
      <c r="E43" s="5">
        <v>12607.82</v>
      </c>
      <c r="F43" s="5">
        <v>6303.91</v>
      </c>
      <c r="G43" s="6">
        <f>828.38*2</f>
        <v>1656.76</v>
      </c>
      <c r="H43" s="6">
        <f>2369.99*2</f>
        <v>4739.9799999999996</v>
      </c>
      <c r="I43" s="6">
        <v>0</v>
      </c>
      <c r="J43" s="6">
        <f t="shared" si="0"/>
        <v>12514.990000000002</v>
      </c>
    </row>
    <row r="44" spans="1:10" ht="27" customHeight="1" x14ac:dyDescent="0.25">
      <c r="A44" s="3" t="s">
        <v>86</v>
      </c>
      <c r="B44" s="3">
        <v>43</v>
      </c>
      <c r="C44" s="4" t="s">
        <v>18</v>
      </c>
      <c r="D44" s="4" t="s">
        <v>62</v>
      </c>
      <c r="E44" s="5">
        <v>9483.66</v>
      </c>
      <c r="F44" s="5">
        <v>4741.83</v>
      </c>
      <c r="G44" s="6">
        <f>828.38*2</f>
        <v>1656.76</v>
      </c>
      <c r="H44" s="6">
        <f>1510.84*2</f>
        <v>3021.68</v>
      </c>
      <c r="I44" s="6">
        <v>0</v>
      </c>
      <c r="J44" s="6">
        <f t="shared" si="0"/>
        <v>9547.0499999999993</v>
      </c>
    </row>
    <row r="45" spans="1:10" ht="27" customHeight="1" x14ac:dyDescent="0.25">
      <c r="A45" s="3" t="s">
        <v>87</v>
      </c>
      <c r="B45" s="3">
        <v>73</v>
      </c>
      <c r="C45" s="4" t="s">
        <v>18</v>
      </c>
      <c r="D45" s="4" t="s">
        <v>16</v>
      </c>
      <c r="E45" s="5">
        <f>9483.66-94.84</f>
        <v>9388.82</v>
      </c>
      <c r="F45" s="5">
        <v>4741.83</v>
      </c>
      <c r="G45" s="6">
        <f>828.38*2</f>
        <v>1656.76</v>
      </c>
      <c r="H45" s="6">
        <f>1484.76+1510.84</f>
        <v>2995.6</v>
      </c>
      <c r="I45" s="6">
        <v>0</v>
      </c>
      <c r="J45" s="6">
        <f t="shared" si="0"/>
        <v>9478.2899999999991</v>
      </c>
    </row>
    <row r="46" spans="1:10" ht="15.75" thickBot="1" x14ac:dyDescent="0.3"/>
    <row r="47" spans="1:10" ht="42" customHeight="1" thickBot="1" x14ac:dyDescent="0.3">
      <c r="A47" s="21" t="s">
        <v>88</v>
      </c>
      <c r="B47" s="21"/>
      <c r="C47" s="21"/>
      <c r="D47" s="21"/>
      <c r="E47" s="21"/>
      <c r="F47" s="21"/>
      <c r="G47" s="21"/>
      <c r="H47" s="22"/>
      <c r="I47" s="11"/>
      <c r="J47" s="11"/>
    </row>
    <row r="48" spans="1:10" ht="28.5" customHeight="1" x14ac:dyDescent="0.25">
      <c r="A48" s="23" t="s">
        <v>1</v>
      </c>
      <c r="B48" s="23" t="s">
        <v>2</v>
      </c>
      <c r="C48" s="23" t="s">
        <v>3</v>
      </c>
      <c r="D48" s="25" t="s">
        <v>5</v>
      </c>
      <c r="E48" s="27" t="s">
        <v>100</v>
      </c>
      <c r="F48" s="17" t="s">
        <v>6</v>
      </c>
      <c r="G48" s="12"/>
      <c r="H48" s="25" t="s">
        <v>7</v>
      </c>
    </row>
    <row r="49" spans="1:10" ht="28.5" customHeight="1" x14ac:dyDescent="0.25">
      <c r="A49" s="24"/>
      <c r="B49" s="24"/>
      <c r="C49" s="24"/>
      <c r="D49" s="26"/>
      <c r="E49" s="25"/>
      <c r="F49" s="18" t="s">
        <v>8</v>
      </c>
      <c r="G49" s="13" t="s">
        <v>9</v>
      </c>
      <c r="H49" s="26"/>
    </row>
    <row r="50" spans="1:10" ht="27" customHeight="1" x14ac:dyDescent="0.25">
      <c r="A50" s="3" t="s">
        <v>89</v>
      </c>
      <c r="B50" s="3">
        <v>143</v>
      </c>
      <c r="C50" s="4" t="s">
        <v>90</v>
      </c>
      <c r="D50" s="19">
        <v>31612.02</v>
      </c>
      <c r="E50" s="5">
        <v>11854.57</v>
      </c>
      <c r="F50" s="19">
        <v>779.59</v>
      </c>
      <c r="G50" s="19">
        <v>10817.48</v>
      </c>
      <c r="H50" s="6">
        <f>D50+E50-F50-G50</f>
        <v>31869.52</v>
      </c>
      <c r="J50" s="14"/>
    </row>
    <row r="51" spans="1:10" ht="46.5" customHeight="1" x14ac:dyDescent="0.25">
      <c r="A51" s="15" t="s">
        <v>91</v>
      </c>
      <c r="B51" s="3" t="s">
        <v>92</v>
      </c>
      <c r="C51" s="4" t="s">
        <v>93</v>
      </c>
      <c r="D51" s="15" t="s">
        <v>94</v>
      </c>
      <c r="E51" s="6" t="s">
        <v>95</v>
      </c>
      <c r="F51" s="6" t="s">
        <v>95</v>
      </c>
      <c r="G51" s="6" t="s">
        <v>95</v>
      </c>
      <c r="H51" s="6" t="s">
        <v>95</v>
      </c>
      <c r="J51" s="14"/>
    </row>
    <row r="52" spans="1:10" ht="27" customHeight="1" x14ac:dyDescent="0.25">
      <c r="A52" s="3" t="s">
        <v>96</v>
      </c>
      <c r="B52" s="3">
        <v>132</v>
      </c>
      <c r="C52" s="4" t="s">
        <v>97</v>
      </c>
      <c r="D52" s="19">
        <v>27346.2</v>
      </c>
      <c r="E52" s="5">
        <v>13673.1</v>
      </c>
      <c r="F52" s="19">
        <v>779.59</v>
      </c>
      <c r="G52" s="19">
        <v>10144.42</v>
      </c>
      <c r="H52" s="6">
        <f>D52+E52-F52-G52</f>
        <v>30095.290000000008</v>
      </c>
      <c r="J52" s="14"/>
    </row>
    <row r="53" spans="1:10" ht="27" customHeight="1" x14ac:dyDescent="0.25">
      <c r="A53" s="3" t="s">
        <v>98</v>
      </c>
      <c r="B53" s="3">
        <v>131</v>
      </c>
      <c r="C53" s="4" t="s">
        <v>99</v>
      </c>
      <c r="D53" s="19">
        <v>27346.2</v>
      </c>
      <c r="E53" s="5">
        <v>13673.1</v>
      </c>
      <c r="F53" s="19">
        <v>779.59</v>
      </c>
      <c r="G53" s="19">
        <v>10196.56</v>
      </c>
      <c r="H53" s="6">
        <f>D53+E53-F53-G53</f>
        <v>30043.150000000009</v>
      </c>
      <c r="J53" s="14"/>
    </row>
  </sheetData>
  <sheetProtection algorithmName="SHA-512" hashValue="hicLo0RZOClrebcraFu61vMUKxvesAX40Ga5uXQN/aQwzds2BQY1ZqXZmHEdYVT1To1FyBlZ0xBy6/fKZHQEag==" saltValue="l+Fft5fp7PSaGMl5EEtrQA==" spinCount="100000" sheet="1" objects="1" scenarios="1"/>
  <mergeCells count="17">
    <mergeCell ref="A1:J1"/>
    <mergeCell ref="A2:J2"/>
    <mergeCell ref="A3:A4"/>
    <mergeCell ref="B3:B4"/>
    <mergeCell ref="C3:C4"/>
    <mergeCell ref="D3:D4"/>
    <mergeCell ref="E3:E4"/>
    <mergeCell ref="F3:F4"/>
    <mergeCell ref="G3:I3"/>
    <mergeCell ref="J3:J4"/>
    <mergeCell ref="A47:H47"/>
    <mergeCell ref="A48:A49"/>
    <mergeCell ref="B48:B49"/>
    <mergeCell ref="C48:C49"/>
    <mergeCell ref="D48:D49"/>
    <mergeCell ref="E48:E49"/>
    <mergeCell ref="H48:H4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Sonia.Pinchemel</dc:creator>
  <cp:lastModifiedBy>Herbert</cp:lastModifiedBy>
  <dcterms:created xsi:type="dcterms:W3CDTF">2022-06-14T19:23:43Z</dcterms:created>
  <dcterms:modified xsi:type="dcterms:W3CDTF">2023-01-04T13:18:59Z</dcterms:modified>
</cp:coreProperties>
</file>