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1_LICITAÇÃO ANATER\6_PROCESSOS LICITATÓRIOS 2020\PL 14 20 PREGÃO 10 20 nova versão SGA\10_MINUTA DE EDITAL PE 10 2020 SGA\"/>
    </mc:Choice>
  </mc:AlternateContent>
  <bookViews>
    <workbookView xWindow="0" yWindow="0" windowWidth="25200" windowHeight="11985" activeTab="9"/>
  </bookViews>
  <sheets>
    <sheet name="Composição" sheetId="3" r:id="rId1"/>
    <sheet name="1" sheetId="5" r:id="rId2"/>
    <sheet name="2" sheetId="20" r:id="rId3"/>
    <sheet name="3" sheetId="21" r:id="rId4"/>
    <sheet name="4" sheetId="22" r:id="rId5"/>
    <sheet name="5" sheetId="23" r:id="rId6"/>
    <sheet name="6" sheetId="24" r:id="rId7"/>
    <sheet name="7" sheetId="25" r:id="rId8"/>
    <sheet name="8" sheetId="26" r:id="rId9"/>
    <sheet name="UST" sheetId="29" r:id="rId10"/>
  </sheets>
  <definedNames>
    <definedName name="_xlnm.Print_Area" localSheetId="1">'1'!$A$3:$C$112</definedName>
    <definedName name="_xlnm.Print_Area" localSheetId="2">'2'!$A$3:$C$112</definedName>
    <definedName name="_xlnm.Print_Area" localSheetId="3">'3'!$A$3:$C$112</definedName>
    <definedName name="_xlnm.Print_Area" localSheetId="4">'4'!$A$3:$C$112</definedName>
    <definedName name="_xlnm.Print_Area" localSheetId="5">'5'!$A$3:$C$112</definedName>
    <definedName name="_xlnm.Print_Area" localSheetId="6">'6'!$A$3:$C$112</definedName>
    <definedName name="_xlnm.Print_Area" localSheetId="7">'7'!$A$3:$C$112</definedName>
    <definedName name="_xlnm.Print_Area" localSheetId="8">'8'!$A$3:$C$112</definedName>
    <definedName name="_xlnm.Print_Area" localSheetId="9">UST!$A$3:$C$112</definedName>
    <definedName name="_xlnm.Print_Titles" localSheetId="1">'1'!$1:$2</definedName>
    <definedName name="_xlnm.Print_Titles" localSheetId="2">'2'!$1:$2</definedName>
    <definedName name="_xlnm.Print_Titles" localSheetId="3">'3'!$1:$2</definedName>
    <definedName name="_xlnm.Print_Titles" localSheetId="4">'4'!$1:$2</definedName>
    <definedName name="_xlnm.Print_Titles" localSheetId="5">'5'!$1:$2</definedName>
    <definedName name="_xlnm.Print_Titles" localSheetId="6">'6'!$1:$2</definedName>
    <definedName name="_xlnm.Print_Titles" localSheetId="7">'7'!$1:$2</definedName>
    <definedName name="_xlnm.Print_Titles" localSheetId="8">'8'!$1:$2</definedName>
    <definedName name="_xlnm.Print_Titles" localSheetId="9">UST!$1:$2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3" l="1"/>
  <c r="C6" i="5" l="1"/>
  <c r="B12" i="3"/>
  <c r="C6" i="29" s="1"/>
  <c r="C113" i="29" l="1"/>
  <c r="B102" i="29"/>
  <c r="B71" i="29"/>
  <c r="B72" i="29" s="1"/>
  <c r="B82" i="29" s="1"/>
  <c r="B61" i="29"/>
  <c r="B81" i="29" s="1"/>
  <c r="B59" i="29"/>
  <c r="B56" i="29"/>
  <c r="B40" i="29"/>
  <c r="B51" i="29" s="1"/>
  <c r="B52" i="29" s="1"/>
  <c r="B80" i="29" s="1"/>
  <c r="A26" i="29"/>
  <c r="C16" i="29"/>
  <c r="C8" i="29"/>
  <c r="F11" i="3"/>
  <c r="F10" i="3"/>
  <c r="F9" i="3"/>
  <c r="F8" i="3"/>
  <c r="F7" i="3"/>
  <c r="F6" i="3"/>
  <c r="F5" i="3"/>
  <c r="F4" i="3"/>
  <c r="F3" i="3"/>
  <c r="C25" i="29" l="1"/>
  <c r="C35" i="29"/>
  <c r="C44" i="29"/>
  <c r="C51" i="29"/>
  <c r="C67" i="29"/>
  <c r="C11" i="29"/>
  <c r="C36" i="29"/>
  <c r="C59" i="29"/>
  <c r="C68" i="29"/>
  <c r="C81" i="29"/>
  <c r="C15" i="29"/>
  <c r="C26" i="29"/>
  <c r="C37" i="29"/>
  <c r="B46" i="29"/>
  <c r="B47" i="29" s="1"/>
  <c r="C60" i="29"/>
  <c r="C69" i="29"/>
  <c r="B78" i="29"/>
  <c r="C38" i="29"/>
  <c r="C46" i="29"/>
  <c r="C55" i="29"/>
  <c r="C78" i="29"/>
  <c r="C82" i="29"/>
  <c r="C19" i="29"/>
  <c r="C32" i="29"/>
  <c r="C56" i="29"/>
  <c r="C64" i="29"/>
  <c r="C71" i="29"/>
  <c r="C27" i="29"/>
  <c r="C18" i="29"/>
  <c r="C39" i="29"/>
  <c r="C83" i="29"/>
  <c r="C33" i="29"/>
  <c r="C50" i="29"/>
  <c r="C57" i="29"/>
  <c r="C65" i="29"/>
  <c r="C111" i="29"/>
  <c r="C24" i="29"/>
  <c r="C34" i="29"/>
  <c r="C43" i="29"/>
  <c r="C58" i="29"/>
  <c r="C66" i="29"/>
  <c r="C80" i="29"/>
  <c r="C45" i="29" l="1"/>
  <c r="C47" i="29" s="1"/>
  <c r="C52" i="29"/>
  <c r="C40" i="29"/>
  <c r="C28" i="29"/>
  <c r="B79" i="29"/>
  <c r="C79" i="29" s="1"/>
  <c r="C84" i="29" s="1"/>
  <c r="B74" i="29"/>
  <c r="C61" i="29"/>
  <c r="C20" i="29"/>
  <c r="C70" i="29"/>
  <c r="C72" i="29"/>
  <c r="B82" i="20"/>
  <c r="B81" i="20"/>
  <c r="B80" i="20"/>
  <c r="B79" i="20"/>
  <c r="B78" i="20"/>
  <c r="B82" i="21"/>
  <c r="B81" i="21"/>
  <c r="B80" i="21"/>
  <c r="B79" i="21"/>
  <c r="B78" i="21"/>
  <c r="B82" i="22"/>
  <c r="B81" i="22"/>
  <c r="B80" i="22"/>
  <c r="B79" i="22"/>
  <c r="B78" i="22"/>
  <c r="B82" i="23"/>
  <c r="B81" i="23"/>
  <c r="B80" i="23"/>
  <c r="B79" i="23"/>
  <c r="B78" i="23"/>
  <c r="B82" i="24"/>
  <c r="B81" i="24"/>
  <c r="B80" i="24"/>
  <c r="B79" i="24"/>
  <c r="B78" i="24"/>
  <c r="B82" i="25"/>
  <c r="B81" i="25"/>
  <c r="B80" i="25"/>
  <c r="B79" i="25"/>
  <c r="B78" i="25"/>
  <c r="B82" i="26"/>
  <c r="B81" i="26"/>
  <c r="B84" i="26" s="1"/>
  <c r="B80" i="26"/>
  <c r="B79" i="26"/>
  <c r="B78" i="26"/>
  <c r="B82" i="5"/>
  <c r="B81" i="5"/>
  <c r="B80" i="5"/>
  <c r="B79" i="5"/>
  <c r="B78" i="5"/>
  <c r="B71" i="20"/>
  <c r="B71" i="21"/>
  <c r="B71" i="22"/>
  <c r="B71" i="23"/>
  <c r="B71" i="24"/>
  <c r="B71" i="25"/>
  <c r="B71" i="26"/>
  <c r="B71" i="5"/>
  <c r="B59" i="20"/>
  <c r="B56" i="20"/>
  <c r="B59" i="21"/>
  <c r="B56" i="21"/>
  <c r="B59" i="22"/>
  <c r="B56" i="22"/>
  <c r="B59" i="23"/>
  <c r="B56" i="23"/>
  <c r="B59" i="24"/>
  <c r="B56" i="24"/>
  <c r="B59" i="25"/>
  <c r="B56" i="25"/>
  <c r="B59" i="26"/>
  <c r="B56" i="26"/>
  <c r="B59" i="5"/>
  <c r="B56" i="5"/>
  <c r="B51" i="20"/>
  <c r="B51" i="21"/>
  <c r="B51" i="22"/>
  <c r="B51" i="23"/>
  <c r="B51" i="24"/>
  <c r="B51" i="25"/>
  <c r="B51" i="26"/>
  <c r="B51" i="5"/>
  <c r="B46" i="20"/>
  <c r="B46" i="21"/>
  <c r="B46" i="22"/>
  <c r="B46" i="23"/>
  <c r="B46" i="24"/>
  <c r="B46" i="25"/>
  <c r="B46" i="26"/>
  <c r="B46" i="5"/>
  <c r="C113" i="26"/>
  <c r="B102" i="26"/>
  <c r="B72" i="26"/>
  <c r="B61" i="26"/>
  <c r="B52" i="26"/>
  <c r="B47" i="26"/>
  <c r="B40" i="26"/>
  <c r="A26" i="26"/>
  <c r="C8" i="26"/>
  <c r="C11" i="3" s="1"/>
  <c r="C74" i="29" l="1"/>
  <c r="C86" i="29"/>
  <c r="B84" i="29"/>
  <c r="B74" i="26"/>
  <c r="C111" i="26"/>
  <c r="C11" i="26"/>
  <c r="C113" i="25"/>
  <c r="B84" i="25"/>
  <c r="B72" i="25"/>
  <c r="B61" i="25"/>
  <c r="B52" i="25"/>
  <c r="B47" i="25"/>
  <c r="B40" i="25"/>
  <c r="A26" i="25"/>
  <c r="C8" i="25"/>
  <c r="C113" i="24"/>
  <c r="B102" i="24"/>
  <c r="B84" i="24"/>
  <c r="B72" i="24"/>
  <c r="B61" i="24"/>
  <c r="B52" i="24"/>
  <c r="B47" i="24"/>
  <c r="B40" i="24"/>
  <c r="A26" i="24"/>
  <c r="C8" i="24"/>
  <c r="C113" i="23"/>
  <c r="B84" i="23"/>
  <c r="B72" i="23"/>
  <c r="B61" i="23"/>
  <c r="B52" i="23"/>
  <c r="B47" i="23"/>
  <c r="B40" i="23"/>
  <c r="A26" i="23"/>
  <c r="C8" i="23"/>
  <c r="C113" i="22"/>
  <c r="B102" i="22"/>
  <c r="B84" i="22"/>
  <c r="B72" i="22"/>
  <c r="B61" i="22"/>
  <c r="B52" i="22"/>
  <c r="B47" i="22"/>
  <c r="B40" i="22"/>
  <c r="A26" i="22"/>
  <c r="C8" i="22"/>
  <c r="C113" i="21"/>
  <c r="B102" i="21"/>
  <c r="B84" i="21"/>
  <c r="B72" i="21"/>
  <c r="B61" i="21"/>
  <c r="B52" i="21"/>
  <c r="B47" i="21"/>
  <c r="B40" i="21"/>
  <c r="A26" i="21"/>
  <c r="C8" i="21"/>
  <c r="C113" i="20"/>
  <c r="B84" i="20"/>
  <c r="B72" i="20"/>
  <c r="B61" i="20"/>
  <c r="B52" i="20"/>
  <c r="B47" i="20"/>
  <c r="B40" i="20"/>
  <c r="A26" i="20"/>
  <c r="C8" i="20"/>
  <c r="C91" i="29" l="1"/>
  <c r="C90" i="29"/>
  <c r="B74" i="25"/>
  <c r="C28" i="26"/>
  <c r="C10" i="3"/>
  <c r="C9" i="3"/>
  <c r="C6" i="3"/>
  <c r="C4" i="3"/>
  <c r="C5" i="3" s="1"/>
  <c r="C3" i="3"/>
  <c r="C7" i="3"/>
  <c r="C72" i="26"/>
  <c r="C52" i="26"/>
  <c r="C20" i="26"/>
  <c r="C47" i="26"/>
  <c r="C40" i="26"/>
  <c r="C84" i="26"/>
  <c r="C61" i="26"/>
  <c r="B74" i="23"/>
  <c r="B74" i="22"/>
  <c r="B102" i="23"/>
  <c r="B74" i="21"/>
  <c r="B102" i="20"/>
  <c r="B74" i="20"/>
  <c r="B74" i="24"/>
  <c r="B102" i="25"/>
  <c r="C11" i="25"/>
  <c r="C111" i="25"/>
  <c r="C11" i="24"/>
  <c r="C111" i="24"/>
  <c r="C11" i="23"/>
  <c r="C111" i="23"/>
  <c r="C11" i="22"/>
  <c r="C111" i="22"/>
  <c r="C111" i="21"/>
  <c r="C11" i="21"/>
  <c r="C111" i="20"/>
  <c r="C11" i="20"/>
  <c r="K9" i="3"/>
  <c r="F12" i="3"/>
  <c r="B16" i="3" s="1"/>
  <c r="C7" i="5"/>
  <c r="C8" i="5" s="1"/>
  <c r="C113" i="5"/>
  <c r="B102" i="5"/>
  <c r="B40" i="5"/>
  <c r="B52" i="5" s="1"/>
  <c r="A26" i="5"/>
  <c r="C94" i="26" l="1"/>
  <c r="C94" i="29"/>
  <c r="C92" i="29"/>
  <c r="C8" i="3"/>
  <c r="C12" i="3" s="1"/>
  <c r="C74" i="26"/>
  <c r="C86" i="26"/>
  <c r="C94" i="23"/>
  <c r="C94" i="20"/>
  <c r="C94" i="22"/>
  <c r="C94" i="24"/>
  <c r="C94" i="25"/>
  <c r="C94" i="21"/>
  <c r="C52" i="24"/>
  <c r="C28" i="22"/>
  <c r="C61" i="25"/>
  <c r="C52" i="25"/>
  <c r="C47" i="24"/>
  <c r="C20" i="23"/>
  <c r="C47" i="23"/>
  <c r="C52" i="20"/>
  <c r="C20" i="25"/>
  <c r="C40" i="25"/>
  <c r="C72" i="25"/>
  <c r="C84" i="25"/>
  <c r="C47" i="25"/>
  <c r="C28" i="25"/>
  <c r="C72" i="24"/>
  <c r="C40" i="24"/>
  <c r="C28" i="24"/>
  <c r="C84" i="24"/>
  <c r="C61" i="24"/>
  <c r="C20" i="24"/>
  <c r="C84" i="23"/>
  <c r="C52" i="23"/>
  <c r="C61" i="23"/>
  <c r="C40" i="23"/>
  <c r="C72" i="23"/>
  <c r="C28" i="23"/>
  <c r="C40" i="22"/>
  <c r="C84" i="22"/>
  <c r="C61" i="22"/>
  <c r="C52" i="22"/>
  <c r="C47" i="22"/>
  <c r="C72" i="22"/>
  <c r="C20" i="22"/>
  <c r="C47" i="21"/>
  <c r="C40" i="21"/>
  <c r="C52" i="21"/>
  <c r="C72" i="21"/>
  <c r="C20" i="21"/>
  <c r="C61" i="21"/>
  <c r="C84" i="21"/>
  <c r="C28" i="21"/>
  <c r="C28" i="20"/>
  <c r="C61" i="20"/>
  <c r="C47" i="20"/>
  <c r="C84" i="20"/>
  <c r="C72" i="20"/>
  <c r="C40" i="20"/>
  <c r="C20" i="20"/>
  <c r="C94" i="5"/>
  <c r="B47" i="5"/>
  <c r="B72" i="5"/>
  <c r="C104" i="29" l="1"/>
  <c r="C106" i="29" s="1"/>
  <c r="C105" i="29" s="1"/>
  <c r="C99" i="29" s="1"/>
  <c r="C86" i="23"/>
  <c r="C74" i="24"/>
  <c r="C74" i="21"/>
  <c r="C28" i="5"/>
  <c r="C74" i="25"/>
  <c r="C86" i="25"/>
  <c r="C86" i="24"/>
  <c r="C74" i="23"/>
  <c r="C74" i="22"/>
  <c r="C86" i="22"/>
  <c r="C86" i="21"/>
  <c r="C86" i="20"/>
  <c r="C74" i="20"/>
  <c r="B61" i="5"/>
  <c r="B84" i="5" s="1"/>
  <c r="C11" i="5"/>
  <c r="C111" i="5"/>
  <c r="C102" i="29" l="1"/>
  <c r="C100" i="29"/>
  <c r="C98" i="29"/>
  <c r="C101" i="29"/>
  <c r="C109" i="29"/>
  <c r="C112" i="29" s="1"/>
  <c r="B19" i="3" s="1"/>
  <c r="C92" i="20"/>
  <c r="C104" i="20" s="1"/>
  <c r="C106" i="20" s="1"/>
  <c r="C105" i="20" s="1"/>
  <c r="C92" i="23"/>
  <c r="C104" i="23" s="1"/>
  <c r="C106" i="23" s="1"/>
  <c r="C109" i="23" s="1"/>
  <c r="C92" i="26"/>
  <c r="C104" i="26" s="1"/>
  <c r="C106" i="26" s="1"/>
  <c r="B74" i="5"/>
  <c r="C52" i="5"/>
  <c r="C47" i="5"/>
  <c r="C20" i="5"/>
  <c r="C61" i="5"/>
  <c r="C72" i="5"/>
  <c r="C40" i="5"/>
  <c r="C92" i="24" l="1"/>
  <c r="C104" i="24" s="1"/>
  <c r="C106" i="24" s="1"/>
  <c r="C105" i="24" s="1"/>
  <c r="C105" i="23"/>
  <c r="C109" i="26"/>
  <c r="C105" i="26"/>
  <c r="C92" i="25"/>
  <c r="C104" i="25" s="1"/>
  <c r="C106" i="25" s="1"/>
  <c r="C109" i="25" s="1"/>
  <c r="C92" i="22"/>
  <c r="C104" i="22" s="1"/>
  <c r="C106" i="22" s="1"/>
  <c r="C112" i="23"/>
  <c r="D6" i="3"/>
  <c r="H6" i="3" s="1"/>
  <c r="C92" i="21"/>
  <c r="C104" i="21" s="1"/>
  <c r="C106" i="21" s="1"/>
  <c r="C109" i="21" s="1"/>
  <c r="C109" i="20"/>
  <c r="C102" i="20"/>
  <c r="C74" i="5"/>
  <c r="C84" i="5"/>
  <c r="C86" i="5" s="1"/>
  <c r="C109" i="22" l="1"/>
  <c r="D4" i="3" s="1"/>
  <c r="H4" i="3" s="1"/>
  <c r="D10" i="3"/>
  <c r="H10" i="3" s="1"/>
  <c r="C109" i="24"/>
  <c r="C102" i="23"/>
  <c r="C112" i="26"/>
  <c r="D11" i="3"/>
  <c r="H11" i="3" s="1"/>
  <c r="C105" i="25"/>
  <c r="C102" i="26"/>
  <c r="C105" i="22"/>
  <c r="C112" i="25"/>
  <c r="G6" i="3"/>
  <c r="C112" i="21"/>
  <c r="D3" i="3"/>
  <c r="C105" i="21"/>
  <c r="C112" i="20"/>
  <c r="D7" i="3"/>
  <c r="H7" i="3" s="1"/>
  <c r="C102" i="24"/>
  <c r="H3" i="3" l="1"/>
  <c r="G10" i="3"/>
  <c r="C112" i="22"/>
  <c r="D5" i="3"/>
  <c r="H5" i="3" s="1"/>
  <c r="C112" i="24"/>
  <c r="D9" i="3"/>
  <c r="H9" i="3" s="1"/>
  <c r="C102" i="25"/>
  <c r="C102" i="22"/>
  <c r="G4" i="3"/>
  <c r="G11" i="3"/>
  <c r="C102" i="21"/>
  <c r="G7" i="3"/>
  <c r="C92" i="5"/>
  <c r="C104" i="5" s="1"/>
  <c r="C106" i="5" s="1"/>
  <c r="G5" i="3" l="1"/>
  <c r="G9" i="3"/>
  <c r="C105" i="5"/>
  <c r="C109" i="5"/>
  <c r="D8" i="3" l="1"/>
  <c r="C112" i="5"/>
  <c r="C102" i="5"/>
  <c r="H8" i="3" l="1"/>
  <c r="D12" i="3"/>
  <c r="G8" i="3"/>
  <c r="G3" i="3"/>
  <c r="G12" i="3" l="1"/>
  <c r="B17" i="3" s="1"/>
  <c r="B18" i="3" l="1"/>
</calcChain>
</file>

<file path=xl/sharedStrings.xml><?xml version="1.0" encoding="utf-8"?>
<sst xmlns="http://schemas.openxmlformats.org/spreadsheetml/2006/main" count="1079" uniqueCount="137">
  <si>
    <t>Perfil profissional</t>
  </si>
  <si>
    <t>Taxa de Alocação</t>
  </si>
  <si>
    <t>Alocação (horas)</t>
  </si>
  <si>
    <t>Desenvolvedor I (Senior)</t>
  </si>
  <si>
    <t>Desenvolvedor II (Pleno)</t>
  </si>
  <si>
    <t>Desenvolvedor III (Pleno)</t>
  </si>
  <si>
    <t>Arquiteto de Software</t>
  </si>
  <si>
    <t>Líder de Projeto (ScrumMaster)</t>
  </si>
  <si>
    <t>Testador</t>
  </si>
  <si>
    <t>Administrador (Projetista) de Dados</t>
  </si>
  <si>
    <t>CUSTO BASE MENSAL DE TIME ÁGIL</t>
  </si>
  <si>
    <t>Item de Custo</t>
  </si>
  <si>
    <t>CUSTOS ADICIONAIS MENSAIS ESTIMADOS POR TIME</t>
  </si>
  <si>
    <t>Valor</t>
  </si>
  <si>
    <t>Custo com Softwares</t>
  </si>
  <si>
    <t>Custo com Riscos</t>
  </si>
  <si>
    <t>Custo com Garantia</t>
  </si>
  <si>
    <t>Custo com transporte (Uber, Taxi etc)</t>
  </si>
  <si>
    <t>Outros custos</t>
  </si>
  <si>
    <t>MÓDULO 1 : COMPOSIÇÃO DA REMUNERAÇÃO</t>
  </si>
  <si>
    <t>Remuneração e Reserva Técnica</t>
  </si>
  <si>
    <t>Percentual</t>
  </si>
  <si>
    <t>Valor em R$</t>
  </si>
  <si>
    <t>A - Salário Base</t>
  </si>
  <si>
    <t>B - Reserva Técnica sobre o Salário Base</t>
  </si>
  <si>
    <t>Total da Remuneração + Reserva Técnica</t>
  </si>
  <si>
    <t>Horas Trabalhadas no mês</t>
  </si>
  <si>
    <t>Custo por hora</t>
  </si>
  <si>
    <t>MÓDULO 2: BENEFÍCIOS MENSAIS E DIÁRIOS</t>
  </si>
  <si>
    <t>Insumos (valores serão distribuídos de acordo c/ quantitativo da mão-de-obra)</t>
  </si>
  <si>
    <t>A - Vale-transporte (fornecido conforme Lei 7.418 de 16/12/85)</t>
  </si>
  <si>
    <t>B - Vale-refeição (Auxílio Alimentação)</t>
  </si>
  <si>
    <t>C - Assistência médica</t>
  </si>
  <si>
    <t>D - Auxílio Creche</t>
  </si>
  <si>
    <t>Total dos Benefícios</t>
  </si>
  <si>
    <t>MÓDULO 3: INSUMOS DIVERSOS</t>
  </si>
  <si>
    <t>A - Uniformes/Identificação</t>
  </si>
  <si>
    <t>B - Software/Hardware</t>
  </si>
  <si>
    <t>D - Triênio (CCT SINDPD / 3% a cada 3 anos)</t>
  </si>
  <si>
    <t>Total dos Insumos</t>
  </si>
  <si>
    <t>MÓDULO 4: ENCARGOS SOCIAIS E TRABALHISTAS</t>
  </si>
  <si>
    <t>Submódulo 4.1 (Grupo A - Custos Previdenciários)</t>
  </si>
  <si>
    <t>A - INSS (incide sobre o faturamento - MP 540/2011, convertida na Lei 12.546/2011. MP 563/2012, convertida na Lei 12.715/2012. MP 612/2013.) Ver item 4 do Módulo 5</t>
  </si>
  <si>
    <t>B - SESI/SESC</t>
  </si>
  <si>
    <t>C - SENAI/SENAC</t>
  </si>
  <si>
    <t>D - INCRA</t>
  </si>
  <si>
    <t>E - Salário Educação</t>
  </si>
  <si>
    <t>F - FGTS</t>
  </si>
  <si>
    <t>G - Seguro Acidente de Trabalho</t>
  </si>
  <si>
    <t>H - SEBRAE</t>
  </si>
  <si>
    <t>Total do Submódulo 4.1</t>
  </si>
  <si>
    <t>Submódulo 4.2 (13º Salário e Adicional de Férias)</t>
  </si>
  <si>
    <t xml:space="preserve">A - 13 º Salário </t>
  </si>
  <si>
    <t>B - Adicional de Férias</t>
  </si>
  <si>
    <t>Subtotal</t>
  </si>
  <si>
    <t>C - Incidência do Submódulo 4.1 sobre 13º Salário e Adicional de Férias</t>
  </si>
  <si>
    <t>Total do Submódulo 4.2</t>
  </si>
  <si>
    <t>Submódulo 4.3 (Afastamento Maternidade)</t>
  </si>
  <si>
    <t>A - Afastamento maternidade/paternidade</t>
  </si>
  <si>
    <t>B - Incidência do submódulo 4.1 sobre afastamento maternidade</t>
  </si>
  <si>
    <t>Total do Submódulo 4.3</t>
  </si>
  <si>
    <t>Submódulo 4.4 (Provisão para Rescisão)</t>
  </si>
  <si>
    <t>A - Aviso prévio indenizado</t>
  </si>
  <si>
    <t>B - Incidência do FGTS sobre aviso prévio indenizado</t>
  </si>
  <si>
    <t>C - Multa do FGTS do aviso prévio indenizado</t>
  </si>
  <si>
    <t xml:space="preserve">D - Aviso prévio trabalhado </t>
  </si>
  <si>
    <t>E - Incidência do submódulo 4.1 sobre aviso prévio trabalhado</t>
  </si>
  <si>
    <t>F - Multa do FGTS do aviso prévio trabalhado</t>
  </si>
  <si>
    <t>Total do Submódulo 4.4</t>
  </si>
  <si>
    <t>Submódulo 4.5 (Composição do Custo de Reposição do Profissional Ausente)</t>
  </si>
  <si>
    <t>A - Férias</t>
  </si>
  <si>
    <t>B - Ausência por doença</t>
  </si>
  <si>
    <t>C - Licença paternidade</t>
  </si>
  <si>
    <t>D - Ausências legais</t>
  </si>
  <si>
    <t>E - Ausência por Acidente de trabalho</t>
  </si>
  <si>
    <t>F - Outros (especificar)</t>
  </si>
  <si>
    <t xml:space="preserve">C - Incidência do submódulo 4.1 sobre o Custo de reposição </t>
  </si>
  <si>
    <t>Total do Submódulo 4.5</t>
  </si>
  <si>
    <t>Total dos Encargos Sociais</t>
  </si>
  <si>
    <t>Quadro - resumo – Módulo 4 - Encargos sociais e trabalhistas</t>
  </si>
  <si>
    <t>Módulo 4 - Encargos sociais e trabalhistas</t>
  </si>
  <si>
    <t>4.1 - 13 º salário + Adicional de férias</t>
  </si>
  <si>
    <t>4.2 - Encargos previdenciários e FGTS</t>
  </si>
  <si>
    <t>4.3 - Afastamento maternidade</t>
  </si>
  <si>
    <t>4.4 - Custo de rescisão</t>
  </si>
  <si>
    <t>4.5 - Custo de reposição do profissional ausente</t>
  </si>
  <si>
    <t>4.6 - Outros (especificar)</t>
  </si>
  <si>
    <t>Total:</t>
  </si>
  <si>
    <t>Custos Diretos</t>
  </si>
  <si>
    <t>Módulo 5 – Custos indiretos e lucro</t>
  </si>
  <si>
    <t>Demais Componentes</t>
  </si>
  <si>
    <t>A - Despesas Administrativas/Operacionais</t>
  </si>
  <si>
    <t>C - Lucro Bruto</t>
  </si>
  <si>
    <t>Total dos Demais Componentes</t>
  </si>
  <si>
    <t>Demais Custos Diretos (Hardware, Software, Táxi, Uber, Garantia Contratual, etc)</t>
  </si>
  <si>
    <t>Módulo 5 – Tributos</t>
  </si>
  <si>
    <t>Tributos</t>
  </si>
  <si>
    <t>01 - ISS</t>
  </si>
  <si>
    <t>02 - PIS</t>
  </si>
  <si>
    <t>03 - COFINS</t>
  </si>
  <si>
    <t>04 - INSS (incide sobre o faturamento - MP 540/2011, convertida na Lei 12.546/2011. MP 563/2012, convertida na Lei 12.715/2012. MP 612/2013.)</t>
  </si>
  <si>
    <t>Total dos Tributos sobre o Faturamento</t>
  </si>
  <si>
    <t>Remuneração + Reserva Técnica + Encargos Sociais + Insumos + Demais Componentes</t>
  </si>
  <si>
    <t>Tributos sobre o Faturamento</t>
  </si>
  <si>
    <t>Total Geral</t>
  </si>
  <si>
    <t>QUADRO-RESUMO DO VALOR MENSAL DO SERVIÇO</t>
  </si>
  <si>
    <t>Total</t>
  </si>
  <si>
    <t>Fator K</t>
  </si>
  <si>
    <t>Valor Hora Por Empregado</t>
  </si>
  <si>
    <t>Produtividade Média (hh/PF)</t>
  </si>
  <si>
    <t>Líder de Projetos/ScrumMaster</t>
  </si>
  <si>
    <t>TOTAL</t>
  </si>
  <si>
    <t>Desenvolvedor Pleno</t>
  </si>
  <si>
    <t>Analista de Requisitos/Estórias</t>
  </si>
  <si>
    <t>Administrador/Projetista de Dados</t>
  </si>
  <si>
    <t>CUSTO MENSAL/TIME</t>
  </si>
  <si>
    <t>TOTAL DE HORAS/TIME/MÊS</t>
  </si>
  <si>
    <t>PRODUTIVIDADE PF/MÊS</t>
  </si>
  <si>
    <t>CUSTO PONTO DE FUNÇÃO</t>
  </si>
  <si>
    <t>Custo/Hora</t>
  </si>
  <si>
    <t>Desenvolvedor Sênior</t>
  </si>
  <si>
    <t>PERFIL PROFISSIONAL</t>
  </si>
  <si>
    <t>Analista de Requisitos/Estórias de Usuário</t>
  </si>
  <si>
    <t>Analista de Testes / Testador</t>
  </si>
  <si>
    <t>Custo Proporcional</t>
  </si>
  <si>
    <t>Custo Mensal</t>
  </si>
  <si>
    <t>Analista Devops</t>
  </si>
  <si>
    <t>E - Benefícios Pacote Meta (Educação, Combustível etc)</t>
  </si>
  <si>
    <t>PRODUTIVIDADE - hh/PF</t>
  </si>
  <si>
    <t>CUSTO UST</t>
  </si>
  <si>
    <t>Salário</t>
  </si>
  <si>
    <t>Pacote benefícios</t>
  </si>
  <si>
    <t>TOTALIZADORES / MÉDIAS</t>
  </si>
  <si>
    <t>Leasing de computadores e conectividades</t>
  </si>
  <si>
    <t>PRECIFICAÇÃO DA UST</t>
  </si>
  <si>
    <t>PLANILHA DE ANÁLISE DE EXEQUIBILIDADE</t>
  </si>
  <si>
    <t>A - Salário Médio - Profissional de Time Ágil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</si>
</sst>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* #,##0.00000_);_(* \(#,##0.00000\);_(* &quot;-&quot;??_);_(@_)"/>
    <numFmt numFmtId="167" formatCode="_(* #,##0_);_(* \(#,##0\);_(* &quot;-&quot;??_);_(@_)"/>
    <numFmt numFmtId="168" formatCode="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1" xfId="0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5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10" fontId="6" fillId="5" borderId="1" xfId="3" applyNumberFormat="1" applyFont="1" applyFill="1" applyBorder="1" applyAlignment="1">
      <alignment horizontal="center" vertical="center"/>
    </xf>
    <xf numFmtId="165" fontId="6" fillId="5" borderId="1" xfId="5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10" fontId="7" fillId="0" borderId="1" xfId="3" applyNumberFormat="1" applyFont="1" applyFill="1" applyBorder="1" applyAlignment="1">
      <alignment horizontal="center" vertical="center"/>
    </xf>
    <xf numFmtId="43" fontId="7" fillId="0" borderId="0" xfId="2" applyNumberFormat="1" applyFont="1" applyFill="1" applyAlignment="1">
      <alignment vertical="center"/>
    </xf>
    <xf numFmtId="0" fontId="7" fillId="0" borderId="9" xfId="2" applyFont="1" applyFill="1" applyBorder="1" applyAlignment="1">
      <alignment horizontal="left" vertical="center" wrapText="1"/>
    </xf>
    <xf numFmtId="165" fontId="7" fillId="0" borderId="2" xfId="5" applyFont="1" applyFill="1" applyBorder="1" applyAlignment="1">
      <alignment horizontal="center" vertical="center"/>
    </xf>
    <xf numFmtId="165" fontId="6" fillId="2" borderId="1" xfId="5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/>
    </xf>
    <xf numFmtId="165" fontId="7" fillId="0" borderId="0" xfId="5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left" vertical="center" wrapText="1"/>
    </xf>
    <xf numFmtId="0" fontId="6" fillId="5" borderId="0" xfId="2" applyFont="1" applyFill="1" applyBorder="1" applyAlignment="1">
      <alignment horizontal="left" vertical="center"/>
    </xf>
    <xf numFmtId="165" fontId="6" fillId="5" borderId="0" xfId="5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 wrapText="1"/>
    </xf>
    <xf numFmtId="10" fontId="7" fillId="0" borderId="1" xfId="2" quotePrefix="1" applyNumberFormat="1" applyFont="1" applyFill="1" applyBorder="1" applyAlignment="1">
      <alignment horizontal="center" vertical="center"/>
    </xf>
    <xf numFmtId="165" fontId="7" fillId="0" borderId="3" xfId="5" applyFont="1" applyFill="1" applyBorder="1" applyAlignment="1">
      <alignment horizontal="center" vertical="center"/>
    </xf>
    <xf numFmtId="165" fontId="7" fillId="0" borderId="0" xfId="5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0" fontId="7" fillId="0" borderId="0" xfId="2" applyNumberFormat="1" applyFont="1" applyFill="1" applyBorder="1" applyAlignment="1">
      <alignment vertical="center"/>
    </xf>
    <xf numFmtId="9" fontId="7" fillId="0" borderId="0" xfId="2" applyNumberFormat="1" applyFont="1" applyFill="1" applyBorder="1" applyAlignment="1">
      <alignment vertical="center"/>
    </xf>
    <xf numFmtId="165" fontId="6" fillId="2" borderId="1" xfId="5" applyNumberFormat="1" applyFont="1" applyFill="1" applyBorder="1" applyAlignment="1">
      <alignment horizontal="center" vertical="center"/>
    </xf>
    <xf numFmtId="9" fontId="9" fillId="0" borderId="0" xfId="2" applyNumberFormat="1" applyFont="1" applyFill="1" applyBorder="1" applyAlignment="1">
      <alignment horizontal="right" vertical="center"/>
    </xf>
    <xf numFmtId="164" fontId="7" fillId="0" borderId="0" xfId="4" applyFont="1" applyFill="1" applyBorder="1" applyAlignment="1">
      <alignment vertical="center"/>
    </xf>
    <xf numFmtId="0" fontId="7" fillId="0" borderId="0" xfId="2" applyFont="1" applyFill="1" applyBorder="1" applyAlignment="1">
      <alignment vertical="center" wrapText="1"/>
    </xf>
    <xf numFmtId="10" fontId="7" fillId="0" borderId="0" xfId="2" quotePrefix="1" applyNumberFormat="1" applyFont="1" applyFill="1" applyBorder="1" applyAlignment="1">
      <alignment horizontal="center" vertical="center"/>
    </xf>
    <xf numFmtId="165" fontId="7" fillId="0" borderId="0" xfId="5" applyNumberFormat="1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left" vertical="center" wrapText="1"/>
    </xf>
    <xf numFmtId="10" fontId="6" fillId="5" borderId="11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10" fontId="7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vertical="center" wrapText="1"/>
    </xf>
    <xf numFmtId="10" fontId="7" fillId="3" borderId="1" xfId="2" quotePrefix="1" applyNumberFormat="1" applyFont="1" applyFill="1" applyBorder="1" applyAlignment="1">
      <alignment horizontal="center" vertical="center"/>
    </xf>
    <xf numFmtId="9" fontId="7" fillId="0" borderId="0" xfId="3" applyFont="1" applyFill="1" applyBorder="1" applyAlignment="1">
      <alignment vertical="center"/>
    </xf>
    <xf numFmtId="0" fontId="6" fillId="0" borderId="10" xfId="2" applyFont="1" applyFill="1" applyBorder="1" applyAlignment="1">
      <alignment horizontal="left" vertical="center" wrapText="1"/>
    </xf>
    <xf numFmtId="0" fontId="7" fillId="0" borderId="10" xfId="2" applyFont="1" applyFill="1" applyBorder="1" applyAlignment="1">
      <alignment horizontal="left" vertical="center"/>
    </xf>
    <xf numFmtId="165" fontId="6" fillId="0" borderId="10" xfId="5" applyFont="1" applyFill="1" applyBorder="1" applyAlignment="1">
      <alignment horizontal="center" vertical="center"/>
    </xf>
    <xf numFmtId="0" fontId="7" fillId="0" borderId="0" xfId="2" applyFont="1" applyFill="1" applyAlignment="1">
      <alignment horizontal="left" vertical="center"/>
    </xf>
    <xf numFmtId="0" fontId="7" fillId="3" borderId="3" xfId="2" applyFont="1" applyFill="1" applyBorder="1" applyAlignment="1">
      <alignment horizontal="left" vertical="center" wrapText="1"/>
    </xf>
    <xf numFmtId="10" fontId="7" fillId="3" borderId="3" xfId="3" applyNumberFormat="1" applyFont="1" applyFill="1" applyBorder="1" applyAlignment="1">
      <alignment horizontal="center" vertical="center"/>
    </xf>
    <xf numFmtId="10" fontId="7" fillId="0" borderId="0" xfId="3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 wrapText="1"/>
    </xf>
    <xf numFmtId="10" fontId="7" fillId="0" borderId="3" xfId="3" applyNumberFormat="1" applyFont="1" applyFill="1" applyBorder="1" applyAlignment="1">
      <alignment horizontal="center" vertical="center"/>
    </xf>
    <xf numFmtId="165" fontId="7" fillId="0" borderId="1" xfId="5" applyFont="1" applyFill="1" applyBorder="1" applyAlignment="1">
      <alignment horizontal="center" vertical="center"/>
    </xf>
    <xf numFmtId="165" fontId="7" fillId="0" borderId="6" xfId="5" applyFont="1" applyFill="1" applyBorder="1" applyAlignment="1">
      <alignment horizontal="center" vertical="center"/>
    </xf>
    <xf numFmtId="165" fontId="6" fillId="5" borderId="1" xfId="5" applyNumberFormat="1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left" vertical="center" wrapText="1"/>
    </xf>
    <xf numFmtId="10" fontId="6" fillId="0" borderId="0" xfId="3" applyNumberFormat="1" applyFont="1" applyFill="1" applyBorder="1" applyAlignment="1">
      <alignment horizontal="center" vertical="center"/>
    </xf>
    <xf numFmtId="165" fontId="6" fillId="0" borderId="0" xfId="5" applyNumberFormat="1" applyFont="1" applyFill="1" applyBorder="1" applyAlignment="1">
      <alignment horizontal="center" vertical="center"/>
    </xf>
    <xf numFmtId="10" fontId="6" fillId="5" borderId="9" xfId="3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justify" vertical="top" wrapText="1"/>
    </xf>
    <xf numFmtId="165" fontId="7" fillId="0" borderId="12" xfId="5" applyFont="1" applyFill="1" applyBorder="1" applyAlignment="1">
      <alignment horizontal="center" vertical="center"/>
    </xf>
    <xf numFmtId="9" fontId="7" fillId="0" borderId="0" xfId="2" applyNumberFormat="1" applyFont="1" applyFill="1" applyAlignment="1">
      <alignment vertical="center"/>
    </xf>
    <xf numFmtId="165" fontId="6" fillId="0" borderId="1" xfId="5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top" wrapText="1"/>
    </xf>
    <xf numFmtId="10" fontId="7" fillId="0" borderId="0" xfId="2" applyNumberFormat="1" applyFont="1" applyFill="1" applyAlignment="1">
      <alignment vertical="center"/>
    </xf>
    <xf numFmtId="10" fontId="7" fillId="0" borderId="7" xfId="3" applyNumberFormat="1" applyFont="1" applyFill="1" applyBorder="1" applyAlignment="1">
      <alignment horizontal="center" vertical="center"/>
    </xf>
    <xf numFmtId="10" fontId="7" fillId="0" borderId="0" xfId="3" applyNumberFormat="1" applyFont="1" applyFill="1" applyBorder="1" applyAlignment="1">
      <alignment horizontal="left" vertical="center"/>
    </xf>
    <xf numFmtId="0" fontId="6" fillId="0" borderId="10" xfId="2" applyFont="1" applyFill="1" applyBorder="1" applyAlignment="1">
      <alignment vertical="center" wrapText="1"/>
    </xf>
    <xf numFmtId="10" fontId="6" fillId="0" borderId="10" xfId="3" applyNumberFormat="1" applyFont="1" applyFill="1" applyBorder="1" applyAlignment="1">
      <alignment horizontal="center" vertical="center"/>
    </xf>
    <xf numFmtId="165" fontId="6" fillId="0" borderId="10" xfId="5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 wrapText="1"/>
    </xf>
    <xf numFmtId="0" fontId="6" fillId="0" borderId="8" xfId="2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 wrapText="1"/>
    </xf>
    <xf numFmtId="165" fontId="6" fillId="5" borderId="6" xfId="5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43" fontId="7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65" fontId="7" fillId="0" borderId="1" xfId="5" quotePrefix="1" applyFont="1" applyFill="1" applyBorder="1" applyAlignment="1">
      <alignment horizontal="center" vertical="center"/>
    </xf>
    <xf numFmtId="166" fontId="7" fillId="0" borderId="0" xfId="2" applyNumberFormat="1" applyFont="1" applyFill="1" applyAlignment="1">
      <alignment vertical="center"/>
    </xf>
    <xf numFmtId="0" fontId="7" fillId="3" borderId="9" xfId="2" applyFont="1" applyFill="1" applyBorder="1" applyAlignment="1">
      <alignment horizontal="left" vertical="center" wrapText="1"/>
    </xf>
    <xf numFmtId="165" fontId="7" fillId="3" borderId="1" xfId="5" quotePrefix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horizontal="center" vertical="center"/>
    </xf>
    <xf numFmtId="165" fontId="6" fillId="2" borderId="1" xfId="5" quotePrefix="1" applyFont="1" applyFill="1" applyBorder="1" applyAlignment="1">
      <alignment horizontal="center" vertical="center"/>
    </xf>
    <xf numFmtId="167" fontId="7" fillId="0" borderId="0" xfId="5" applyNumberFormat="1" applyFont="1" applyFill="1" applyAlignment="1">
      <alignment vertical="center"/>
    </xf>
    <xf numFmtId="0" fontId="6" fillId="0" borderId="8" xfId="2" applyFont="1" applyFill="1" applyBorder="1" applyAlignment="1">
      <alignment vertical="center" wrapText="1"/>
    </xf>
    <xf numFmtId="10" fontId="6" fillId="0" borderId="8" xfId="2" applyNumberFormat="1" applyFont="1" applyFill="1" applyBorder="1" applyAlignment="1">
      <alignment horizontal="center" vertical="center"/>
    </xf>
    <xf numFmtId="165" fontId="6" fillId="0" borderId="8" xfId="5" applyFont="1" applyFill="1" applyBorder="1" applyAlignment="1">
      <alignment horizontal="center" vertical="center"/>
    </xf>
    <xf numFmtId="165" fontId="6" fillId="5" borderId="12" xfId="3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 wrapText="1"/>
    </xf>
    <xf numFmtId="165" fontId="6" fillId="0" borderId="0" xfId="5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 wrapText="1"/>
    </xf>
    <xf numFmtId="10" fontId="7" fillId="0" borderId="0" xfId="3" applyNumberFormat="1" applyFont="1" applyFill="1" applyAlignment="1">
      <alignment vertical="center"/>
    </xf>
    <xf numFmtId="165" fontId="7" fillId="0" borderId="0" xfId="5" applyFont="1" applyFill="1" applyAlignment="1">
      <alignment vertical="center"/>
    </xf>
    <xf numFmtId="165" fontId="6" fillId="5" borderId="3" xfId="5" applyFont="1" applyFill="1" applyBorder="1" applyAlignment="1">
      <alignment horizontal="center" vertical="center"/>
    </xf>
    <xf numFmtId="165" fontId="7" fillId="0" borderId="3" xfId="5" applyNumberFormat="1" applyFont="1" applyFill="1" applyBorder="1" applyAlignment="1">
      <alignment horizontal="center" vertical="center"/>
    </xf>
    <xf numFmtId="165" fontId="8" fillId="0" borderId="3" xfId="5" applyFont="1" applyFill="1" applyBorder="1" applyAlignment="1" applyProtection="1">
      <alignment horizontal="center" vertical="center"/>
    </xf>
    <xf numFmtId="165" fontId="6" fillId="2" borderId="3" xfId="5" applyNumberFormat="1" applyFont="1" applyFill="1" applyBorder="1" applyAlignment="1">
      <alignment horizontal="center" vertical="center"/>
    </xf>
    <xf numFmtId="165" fontId="6" fillId="5" borderId="11" xfId="5" applyFont="1" applyFill="1" applyBorder="1" applyAlignment="1">
      <alignment horizontal="center" vertical="center"/>
    </xf>
    <xf numFmtId="165" fontId="7" fillId="3" borderId="3" xfId="5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2" fontId="2" fillId="0" borderId="0" xfId="2" applyNumberFormat="1" applyFont="1" applyFill="1" applyBorder="1" applyAlignment="1">
      <alignment vertical="center"/>
    </xf>
    <xf numFmtId="9" fontId="7" fillId="0" borderId="0" xfId="2" applyNumberFormat="1" applyFont="1" applyFill="1" applyBorder="1" applyAlignment="1">
      <alignment horizontal="center" vertical="center"/>
    </xf>
    <xf numFmtId="165" fontId="2" fillId="0" borderId="0" xfId="5" applyFont="1" applyFill="1" applyBorder="1" applyAlignment="1">
      <alignment vertical="center"/>
    </xf>
    <xf numFmtId="40" fontId="8" fillId="0" borderId="0" xfId="2" applyNumberFormat="1" applyFont="1" applyFill="1" applyBorder="1" applyAlignment="1" applyProtection="1">
      <alignment horizontal="right" vertical="center"/>
    </xf>
    <xf numFmtId="164" fontId="9" fillId="0" borderId="0" xfId="4" applyFont="1" applyFill="1" applyBorder="1" applyAlignment="1">
      <alignment vertical="center"/>
    </xf>
    <xf numFmtId="165" fontId="7" fillId="0" borderId="0" xfId="5" applyNumberFormat="1" applyFont="1" applyFill="1" applyBorder="1" applyAlignment="1">
      <alignment vertical="center"/>
    </xf>
    <xf numFmtId="165" fontId="6" fillId="6" borderId="1" xfId="5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2" fontId="3" fillId="7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43" fontId="7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10" fillId="8" borderId="1" xfId="0" applyFont="1" applyFill="1" applyBorder="1" applyAlignment="1">
      <alignment wrapText="1"/>
    </xf>
    <xf numFmtId="43" fontId="0" fillId="0" borderId="1" xfId="6" applyFont="1" applyBorder="1"/>
    <xf numFmtId="43" fontId="2" fillId="0" borderId="1" xfId="6" applyFont="1" applyBorder="1" applyAlignment="1">
      <alignment vertical="center"/>
    </xf>
    <xf numFmtId="10" fontId="11" fillId="3" borderId="1" xfId="8" applyNumberFormat="1" applyFont="1" applyFill="1" applyBorder="1" applyAlignment="1">
      <alignment horizontal="center" vertical="center" wrapText="1"/>
    </xf>
    <xf numFmtId="168" fontId="0" fillId="0" borderId="0" xfId="0" applyNumberFormat="1"/>
    <xf numFmtId="43" fontId="7" fillId="0" borderId="0" xfId="2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center" vertical="center"/>
    </xf>
    <xf numFmtId="44" fontId="0" fillId="0" borderId="0" xfId="7" applyFont="1"/>
    <xf numFmtId="44" fontId="0" fillId="0" borderId="0" xfId="0" applyNumberFormat="1"/>
    <xf numFmtId="0" fontId="0" fillId="0" borderId="1" xfId="0" applyBorder="1" applyAlignment="1"/>
    <xf numFmtId="44" fontId="0" fillId="0" borderId="1" xfId="7" applyFont="1" applyBorder="1"/>
    <xf numFmtId="44" fontId="2" fillId="0" borderId="1" xfId="7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4" fontId="3" fillId="7" borderId="1" xfId="7" applyFont="1" applyFill="1" applyBorder="1"/>
    <xf numFmtId="44" fontId="0" fillId="0" borderId="1" xfId="7" applyFont="1" applyBorder="1" applyAlignment="1">
      <alignment vertical="center"/>
    </xf>
    <xf numFmtId="44" fontId="0" fillId="0" borderId="1" xfId="7" applyFont="1" applyBorder="1" applyAlignment="1">
      <alignment horizontal="right" vertical="center"/>
    </xf>
    <xf numFmtId="44" fontId="2" fillId="0" borderId="1" xfId="7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right" vertical="top" wrapText="1"/>
    </xf>
    <xf numFmtId="0" fontId="6" fillId="5" borderId="2" xfId="2" applyFont="1" applyFill="1" applyBorder="1" applyAlignment="1">
      <alignment horizontal="right" vertical="top" wrapText="1"/>
    </xf>
    <xf numFmtId="0" fontId="6" fillId="2" borderId="1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5" fillId="4" borderId="1" xfId="2" quotePrefix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right" vertical="top" wrapText="1"/>
    </xf>
    <xf numFmtId="0" fontId="6" fillId="5" borderId="5" xfId="2" applyFont="1" applyFill="1" applyBorder="1" applyAlignment="1">
      <alignment horizontal="left" vertical="center"/>
    </xf>
    <xf numFmtId="0" fontId="6" fillId="5" borderId="4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43" fontId="7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9">
    <cellStyle name="Moeda" xfId="7" builtinId="4"/>
    <cellStyle name="Moeda 2" xfId="4"/>
    <cellStyle name="Normal" xfId="0" builtinId="0"/>
    <cellStyle name="Normal 2" xfId="2"/>
    <cellStyle name="Normal 4" xfId="1"/>
    <cellStyle name="Porcentagem" xfId="8" builtinId="5"/>
    <cellStyle name="Porcentagem 2" xfId="3"/>
    <cellStyle name="Vírgula" xfId="6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J22" sqref="J22"/>
    </sheetView>
  </sheetViews>
  <sheetFormatPr defaultRowHeight="15" x14ac:dyDescent="0.25"/>
  <cols>
    <col min="1" max="1" width="34.7109375" bestFit="1" customWidth="1"/>
    <col min="2" max="2" width="18.28515625" bestFit="1" customWidth="1"/>
    <col min="3" max="3" width="18.140625" customWidth="1"/>
    <col min="4" max="4" width="17.85546875" customWidth="1"/>
    <col min="5" max="5" width="16.140625" bestFit="1" customWidth="1"/>
    <col min="6" max="6" width="15.7109375" bestFit="1" customWidth="1"/>
    <col min="7" max="7" width="18" bestFit="1" customWidth="1"/>
    <col min="8" max="8" width="11" bestFit="1" customWidth="1"/>
    <col min="9" max="9" width="3.42578125" customWidth="1"/>
    <col min="10" max="10" width="39.7109375" bestFit="1" customWidth="1"/>
    <col min="11" max="11" width="10.5703125" bestFit="1" customWidth="1"/>
  </cols>
  <sheetData>
    <row r="1" spans="1:11" ht="30.75" customHeight="1" x14ac:dyDescent="0.25">
      <c r="A1" s="138" t="s">
        <v>10</v>
      </c>
      <c r="B1" s="139"/>
      <c r="C1" s="139"/>
      <c r="D1" s="139"/>
      <c r="E1" s="139"/>
      <c r="F1" s="139"/>
      <c r="G1" s="139"/>
      <c r="H1" s="140"/>
      <c r="J1" s="137" t="s">
        <v>12</v>
      </c>
      <c r="K1" s="137"/>
    </row>
    <row r="2" spans="1:11" x14ac:dyDescent="0.25">
      <c r="A2" s="4" t="s">
        <v>0</v>
      </c>
      <c r="B2" s="4" t="s">
        <v>130</v>
      </c>
      <c r="C2" s="4" t="s">
        <v>131</v>
      </c>
      <c r="D2" s="4" t="s">
        <v>125</v>
      </c>
      <c r="E2" s="4" t="s">
        <v>1</v>
      </c>
      <c r="F2" s="4" t="s">
        <v>2</v>
      </c>
      <c r="G2" s="4" t="s">
        <v>124</v>
      </c>
      <c r="H2" s="4" t="s">
        <v>119</v>
      </c>
      <c r="J2" s="4" t="s">
        <v>11</v>
      </c>
      <c r="K2" s="4" t="s">
        <v>13</v>
      </c>
    </row>
    <row r="3" spans="1:11" x14ac:dyDescent="0.25">
      <c r="A3" s="1" t="s">
        <v>3</v>
      </c>
      <c r="B3" s="129"/>
      <c r="C3" s="129">
        <f>'3'!C19</f>
        <v>0</v>
      </c>
      <c r="D3" s="129">
        <f>'3'!$C$109</f>
        <v>0</v>
      </c>
      <c r="E3" s="2">
        <v>1</v>
      </c>
      <c r="F3" s="120">
        <f>160*E3</f>
        <v>160</v>
      </c>
      <c r="G3" s="129">
        <f>D3*E3</f>
        <v>0</v>
      </c>
      <c r="H3" s="129">
        <f>D3/160</f>
        <v>0</v>
      </c>
      <c r="J3" s="128" t="s">
        <v>133</v>
      </c>
      <c r="K3" s="135"/>
    </row>
    <row r="4" spans="1:11" x14ac:dyDescent="0.25">
      <c r="A4" s="1" t="s">
        <v>4</v>
      </c>
      <c r="B4" s="129"/>
      <c r="C4" s="129">
        <f>'4'!C19</f>
        <v>0</v>
      </c>
      <c r="D4" s="129">
        <f>'4'!$C$109</f>
        <v>0</v>
      </c>
      <c r="E4" s="2">
        <v>1</v>
      </c>
      <c r="F4" s="120">
        <f t="shared" ref="F4:F11" si="0">160*E4</f>
        <v>160</v>
      </c>
      <c r="G4" s="129">
        <f t="shared" ref="G4:G11" si="1">D4*E4</f>
        <v>0</v>
      </c>
      <c r="H4" s="129">
        <f t="shared" ref="H4:H11" si="2">D4/160</f>
        <v>0</v>
      </c>
      <c r="J4" s="1" t="s">
        <v>14</v>
      </c>
      <c r="K4" s="135"/>
    </row>
    <row r="5" spans="1:11" x14ac:dyDescent="0.25">
      <c r="A5" s="1" t="s">
        <v>5</v>
      </c>
      <c r="B5" s="129"/>
      <c r="C5" s="129">
        <f>C4</f>
        <v>0</v>
      </c>
      <c r="D5" s="129">
        <f>'4'!$C$109</f>
        <v>0</v>
      </c>
      <c r="E5" s="2">
        <v>1</v>
      </c>
      <c r="F5" s="120">
        <f t="shared" si="0"/>
        <v>160</v>
      </c>
      <c r="G5" s="129">
        <f t="shared" si="1"/>
        <v>0</v>
      </c>
      <c r="H5" s="129">
        <f t="shared" si="2"/>
        <v>0</v>
      </c>
      <c r="J5" s="1" t="s">
        <v>15</v>
      </c>
      <c r="K5" s="135"/>
    </row>
    <row r="6" spans="1:11" x14ac:dyDescent="0.25">
      <c r="A6" s="3" t="s">
        <v>113</v>
      </c>
      <c r="B6" s="129"/>
      <c r="C6" s="129">
        <f>'5'!C19</f>
        <v>0</v>
      </c>
      <c r="D6" s="129">
        <f>'5'!$C$109</f>
        <v>0</v>
      </c>
      <c r="E6" s="2">
        <v>0.5</v>
      </c>
      <c r="F6" s="120">
        <f t="shared" si="0"/>
        <v>80</v>
      </c>
      <c r="G6" s="129">
        <f t="shared" si="1"/>
        <v>0</v>
      </c>
      <c r="H6" s="129">
        <f t="shared" si="2"/>
        <v>0</v>
      </c>
      <c r="J6" s="1" t="s">
        <v>16</v>
      </c>
      <c r="K6" s="135"/>
    </row>
    <row r="7" spans="1:11" x14ac:dyDescent="0.25">
      <c r="A7" s="1" t="s">
        <v>6</v>
      </c>
      <c r="B7" s="129"/>
      <c r="C7" s="129">
        <f>'2'!C19</f>
        <v>0</v>
      </c>
      <c r="D7" s="129">
        <f>'2'!$C$109</f>
        <v>0</v>
      </c>
      <c r="E7" s="2">
        <v>0.33329999999999999</v>
      </c>
      <c r="F7" s="120">
        <f t="shared" si="0"/>
        <v>53.327999999999996</v>
      </c>
      <c r="G7" s="129">
        <f t="shared" si="1"/>
        <v>0</v>
      </c>
      <c r="H7" s="129">
        <f t="shared" si="2"/>
        <v>0</v>
      </c>
      <c r="J7" s="1" t="s">
        <v>17</v>
      </c>
      <c r="K7" s="135"/>
    </row>
    <row r="8" spans="1:11" x14ac:dyDescent="0.25">
      <c r="A8" s="1" t="s">
        <v>7</v>
      </c>
      <c r="B8" s="129"/>
      <c r="C8" s="129">
        <f>'1'!C19</f>
        <v>0</v>
      </c>
      <c r="D8" s="129">
        <f>'1'!$C$109</f>
        <v>0</v>
      </c>
      <c r="E8" s="2">
        <v>0.33329999999999999</v>
      </c>
      <c r="F8" s="120">
        <f t="shared" si="0"/>
        <v>53.327999999999996</v>
      </c>
      <c r="G8" s="129">
        <f t="shared" si="1"/>
        <v>0</v>
      </c>
      <c r="H8" s="129">
        <f t="shared" si="2"/>
        <v>0</v>
      </c>
      <c r="J8" s="1" t="s">
        <v>18</v>
      </c>
      <c r="K8" s="135"/>
    </row>
    <row r="9" spans="1:11" x14ac:dyDescent="0.25">
      <c r="A9" s="1" t="s">
        <v>8</v>
      </c>
      <c r="B9" s="129"/>
      <c r="C9" s="129">
        <f>'6'!C19</f>
        <v>0</v>
      </c>
      <c r="D9" s="129">
        <f>'6'!$C$109</f>
        <v>0</v>
      </c>
      <c r="E9" s="2">
        <v>0.2</v>
      </c>
      <c r="F9" s="120">
        <f t="shared" si="0"/>
        <v>32</v>
      </c>
      <c r="G9" s="129">
        <f t="shared" si="1"/>
        <v>0</v>
      </c>
      <c r="H9" s="129">
        <f t="shared" si="2"/>
        <v>0</v>
      </c>
      <c r="J9" s="114" t="s">
        <v>111</v>
      </c>
      <c r="K9" s="136">
        <f>SUM(K3:K8)</f>
        <v>0</v>
      </c>
    </row>
    <row r="10" spans="1:11" x14ac:dyDescent="0.25">
      <c r="A10" s="1" t="s">
        <v>9</v>
      </c>
      <c r="B10" s="129"/>
      <c r="C10" s="129">
        <f>'7'!C19</f>
        <v>0</v>
      </c>
      <c r="D10" s="129">
        <f>'7'!$C$109</f>
        <v>0</v>
      </c>
      <c r="E10" s="2">
        <v>0.2</v>
      </c>
      <c r="F10" s="120">
        <f t="shared" si="0"/>
        <v>32</v>
      </c>
      <c r="G10" s="129">
        <f t="shared" ref="G10" si="3">D10*E10</f>
        <v>0</v>
      </c>
      <c r="H10" s="129">
        <f t="shared" si="2"/>
        <v>0</v>
      </c>
    </row>
    <row r="11" spans="1:11" x14ac:dyDescent="0.25">
      <c r="A11" s="1" t="s">
        <v>126</v>
      </c>
      <c r="B11" s="129"/>
      <c r="C11" s="129">
        <f>'8'!C19</f>
        <v>0</v>
      </c>
      <c r="D11" s="129">
        <f>'8'!$C$109</f>
        <v>0</v>
      </c>
      <c r="E11" s="2">
        <v>0.2</v>
      </c>
      <c r="F11" s="120">
        <f t="shared" si="0"/>
        <v>32</v>
      </c>
      <c r="G11" s="129">
        <f t="shared" si="1"/>
        <v>0</v>
      </c>
      <c r="H11" s="129">
        <f t="shared" si="2"/>
        <v>0</v>
      </c>
    </row>
    <row r="12" spans="1:11" ht="29.25" customHeight="1" x14ac:dyDescent="0.25">
      <c r="A12" s="132" t="s">
        <v>132</v>
      </c>
      <c r="B12" s="130" t="e">
        <f>AVERAGE(B3:B11)</f>
        <v>#DIV/0!</v>
      </c>
      <c r="C12" s="130">
        <f>AVERAGE(C3:C11)</f>
        <v>0</v>
      </c>
      <c r="D12" s="130">
        <f>SUM(D3:D11)</f>
        <v>0</v>
      </c>
      <c r="E12" s="131"/>
      <c r="F12" s="121">
        <f>SUM(F3:F11)</f>
        <v>762.65599999999995</v>
      </c>
      <c r="G12" s="130">
        <f>SUM(G3:G11)</f>
        <v>0</v>
      </c>
      <c r="H12" s="134"/>
    </row>
    <row r="13" spans="1:11" ht="7.5" customHeight="1" x14ac:dyDescent="0.25">
      <c r="F13" s="123"/>
    </row>
    <row r="14" spans="1:11" ht="18.75" x14ac:dyDescent="0.3">
      <c r="A14" s="112" t="s">
        <v>128</v>
      </c>
      <c r="B14" s="125"/>
    </row>
    <row r="15" spans="1:11" ht="18.75" x14ac:dyDescent="0.3">
      <c r="A15" s="119" t="s">
        <v>116</v>
      </c>
      <c r="B15" s="113">
        <f>F12</f>
        <v>762.65599999999995</v>
      </c>
    </row>
    <row r="16" spans="1:11" ht="18.75" x14ac:dyDescent="0.3">
      <c r="A16" s="119" t="s">
        <v>117</v>
      </c>
      <c r="B16" s="113">
        <f>IF(B14&gt;0,B15/B14,0)</f>
        <v>0</v>
      </c>
    </row>
    <row r="17" spans="1:6" ht="18.75" x14ac:dyDescent="0.3">
      <c r="A17" s="119" t="s">
        <v>115</v>
      </c>
      <c r="B17" s="133">
        <f>G12</f>
        <v>0</v>
      </c>
      <c r="E17" s="126"/>
      <c r="F17" s="127"/>
    </row>
    <row r="18" spans="1:6" ht="18.75" x14ac:dyDescent="0.3">
      <c r="A18" s="119" t="s">
        <v>118</v>
      </c>
      <c r="B18" s="133">
        <f>IF(B16&gt;0,B17/B16,0)</f>
        <v>0</v>
      </c>
    </row>
    <row r="19" spans="1:6" ht="18.75" x14ac:dyDescent="0.3">
      <c r="A19" s="119" t="s">
        <v>129</v>
      </c>
      <c r="B19" s="133" t="e">
        <f>UST!C112</f>
        <v>#DIV/0!</v>
      </c>
    </row>
  </sheetData>
  <mergeCells count="2">
    <mergeCell ref="J1:K1"/>
    <mergeCell ref="A1:H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114"/>
  <sheetViews>
    <sheetView showGridLines="0" tabSelected="1" view="pageBreakPreview" topLeftCell="A85" zoomScaleNormal="80" zoomScaleSheetLayoutView="100" workbookViewId="0">
      <selection activeCell="C17" sqref="C17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135</v>
      </c>
      <c r="B1" s="148"/>
      <c r="C1" s="148"/>
    </row>
    <row r="2" spans="1:13" ht="18.600000000000001" customHeight="1" x14ac:dyDescent="0.25">
      <c r="A2" s="149" t="s">
        <v>134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136</v>
      </c>
      <c r="B6" s="13">
        <v>1</v>
      </c>
      <c r="C6" s="111" t="e">
        <f>Composição!B12</f>
        <v>#DIV/0!</v>
      </c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 t="e">
        <f>C6+C7</f>
        <v>#DIV/0!</v>
      </c>
    </row>
    <row r="9" spans="1:13" x14ac:dyDescent="0.25">
      <c r="A9" s="18"/>
      <c r="B9" s="116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 t="e">
        <f>ROUND(C8/C10,2)</f>
        <v>#DIV/0!</v>
      </c>
    </row>
    <row r="12" spans="1:13" x14ac:dyDescent="0.25">
      <c r="A12" s="18"/>
      <c r="B12" s="116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 t="e">
        <f>IF((C8*6%)&gt;210,0,(210-(C8*6%)))</f>
        <v>#DIV/0!</v>
      </c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 t="e">
        <f>(26.46*21)*(1-IF(C6&gt;=6851.4,20%,IF(C6&gt;=5592.97,15%,IF(C6&gt;=4474.37,10%,IF(C6&gt;=3076.13,7.5%,IF(C6&gt;=1817.71,5%,IF(C6&lt;=1817.7,0%)))))))</f>
        <v>#DIV/0!</v>
      </c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 t="e">
        <f t="shared" ref="C18" si="0">IF($C$8&gt;0,IF(B18&gt;0,B18*$C$8,0),0)</f>
        <v>#DIV/0!</v>
      </c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</v>
      </c>
      <c r="C19" s="99" t="e">
        <f>B19*C8</f>
        <v>#DIV/0!</v>
      </c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 t="e">
        <f>ROUND(SUM(C15:C19),2)</f>
        <v>#DIV/0!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 t="e">
        <f>ROUND($C$8*B24,2)</f>
        <v>#DIV/0!</v>
      </c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 t="e">
        <f t="shared" ref="C25:C27" si="1">ROUND($C$8*B25,2)</f>
        <v>#DIV/0!</v>
      </c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 t="e">
        <f t="shared" si="1"/>
        <v>#DIV/0!</v>
      </c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 t="e">
        <f t="shared" si="1"/>
        <v>#DIV/0!</v>
      </c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 t="e">
        <f>ROUND(SUM(C24:C27),2)</f>
        <v>#DIV/0!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1:13" ht="30" x14ac:dyDescent="0.25">
      <c r="A32" s="50" t="s">
        <v>42</v>
      </c>
      <c r="B32" s="51">
        <v>0</v>
      </c>
      <c r="C32" s="103" t="e">
        <f t="shared" ref="C32:C39" si="2">ROUND($C$8*B32,2)</f>
        <v>#DIV/0!</v>
      </c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 t="e">
        <f t="shared" si="2"/>
        <v>#DIV/0!</v>
      </c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 t="e">
        <f t="shared" si="2"/>
        <v>#DIV/0!</v>
      </c>
      <c r="D34" s="52"/>
      <c r="E34" s="28"/>
    </row>
    <row r="35" spans="1:13" x14ac:dyDescent="0.25">
      <c r="A35" s="53" t="s">
        <v>45</v>
      </c>
      <c r="B35" s="122">
        <v>2E-3</v>
      </c>
      <c r="C35" s="55" t="e">
        <f t="shared" si="2"/>
        <v>#DIV/0!</v>
      </c>
      <c r="D35" s="52"/>
      <c r="E35" s="28"/>
    </row>
    <row r="36" spans="1:13" x14ac:dyDescent="0.25">
      <c r="A36" s="53" t="s">
        <v>46</v>
      </c>
      <c r="B36" s="122">
        <v>2.5000000000000001E-2</v>
      </c>
      <c r="C36" s="55" t="e">
        <f t="shared" si="2"/>
        <v>#DIV/0!</v>
      </c>
      <c r="D36" s="52"/>
      <c r="E36" s="28"/>
    </row>
    <row r="37" spans="1:13" x14ac:dyDescent="0.25">
      <c r="A37" s="53" t="s">
        <v>47</v>
      </c>
      <c r="B37" s="122">
        <v>0.08</v>
      </c>
      <c r="C37" s="55" t="e">
        <f t="shared" si="2"/>
        <v>#DIV/0!</v>
      </c>
      <c r="D37" s="52"/>
    </row>
    <row r="38" spans="1:13" x14ac:dyDescent="0.25">
      <c r="A38" s="53" t="s">
        <v>48</v>
      </c>
      <c r="B38" s="122">
        <v>1.3299999999999999E-2</v>
      </c>
      <c r="C38" s="55" t="e">
        <f t="shared" si="2"/>
        <v>#DIV/0!</v>
      </c>
      <c r="D38" s="52"/>
    </row>
    <row r="39" spans="1:13" x14ac:dyDescent="0.25">
      <c r="A39" s="53" t="s">
        <v>49</v>
      </c>
      <c r="B39" s="122">
        <v>6.0000000000000001E-3</v>
      </c>
      <c r="C39" s="56" t="e">
        <f t="shared" si="2"/>
        <v>#DIV/0!</v>
      </c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 t="e">
        <f>ROUND(SUM(C32:C39),2)</f>
        <v>#DIV/0!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 t="e">
        <f>ROUND($C$8*B43,2)</f>
        <v>#DIV/0!</v>
      </c>
      <c r="D43" s="52"/>
    </row>
    <row r="44" spans="1:13" x14ac:dyDescent="0.25">
      <c r="A44" s="62" t="s">
        <v>53</v>
      </c>
      <c r="B44" s="122">
        <v>2.7799999999999998E-2</v>
      </c>
      <c r="C44" s="55" t="e">
        <f>ROUND($C$8*B44,2)</f>
        <v>#DIV/0!</v>
      </c>
      <c r="D44" s="52"/>
      <c r="I44" s="64"/>
    </row>
    <row r="45" spans="1:13" x14ac:dyDescent="0.25">
      <c r="A45" s="152" t="s">
        <v>54</v>
      </c>
      <c r="B45" s="142"/>
      <c r="C45" s="65" t="e">
        <f>SUM(C43:C44)</f>
        <v>#DIV/0!</v>
      </c>
      <c r="D45" s="52"/>
    </row>
    <row r="46" spans="1:13" x14ac:dyDescent="0.25">
      <c r="A46" s="66" t="s">
        <v>55</v>
      </c>
      <c r="B46" s="54">
        <f>SUM(B43:B44)*B40</f>
        <v>1.680943E-2</v>
      </c>
      <c r="C46" s="55" t="e">
        <f>ROUND($C$8*B46,2)</f>
        <v>#DIV/0!</v>
      </c>
      <c r="D46" s="52"/>
    </row>
    <row r="47" spans="1:13" x14ac:dyDescent="0.25">
      <c r="A47" s="9" t="s">
        <v>56</v>
      </c>
      <c r="B47" s="10">
        <f>SUM(B43:B44,B46)</f>
        <v>0.12790942999999999</v>
      </c>
      <c r="C47" s="57" t="e">
        <f>C45+C46</f>
        <v>#DIV/0!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 t="e">
        <f>ROUND($C$8*B50,2)</f>
        <v>#DIV/0!</v>
      </c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 t="e">
        <f>ROUND($C$8*B51,2)</f>
        <v>#DIV/0!</v>
      </c>
      <c r="D51" s="52"/>
    </row>
    <row r="52" spans="1:7" x14ac:dyDescent="0.25">
      <c r="A52" s="9" t="s">
        <v>60</v>
      </c>
      <c r="B52" s="10">
        <f>SUM(B50:B51)</f>
        <v>2.5328600000000001E-3</v>
      </c>
      <c r="C52" s="57" t="e">
        <f>SUM(C50:C51)</f>
        <v>#DIV/0!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 t="e">
        <f t="shared" ref="C55:C60" si="3">ROUND($C$8*B55,2)</f>
        <v>#DIV/0!</v>
      </c>
      <c r="D55" s="52"/>
    </row>
    <row r="56" spans="1:7" x14ac:dyDescent="0.25">
      <c r="A56" s="62" t="s">
        <v>63</v>
      </c>
      <c r="B56" s="68">
        <f>B55*B37</f>
        <v>5.1200000000000009E-4</v>
      </c>
      <c r="C56" s="55" t="e">
        <f t="shared" si="3"/>
        <v>#DIV/0!</v>
      </c>
      <c r="D56" s="52"/>
    </row>
    <row r="57" spans="1:7" x14ac:dyDescent="0.25">
      <c r="A57" s="62" t="s">
        <v>64</v>
      </c>
      <c r="B57" s="122">
        <v>2.9399999999999999E-2</v>
      </c>
      <c r="C57" s="55" t="e">
        <f t="shared" si="3"/>
        <v>#DIV/0!</v>
      </c>
      <c r="D57" s="52"/>
    </row>
    <row r="58" spans="1:7" x14ac:dyDescent="0.25">
      <c r="A58" s="62" t="s">
        <v>65</v>
      </c>
      <c r="B58" s="122">
        <v>1.1999999999999999E-3</v>
      </c>
      <c r="C58" s="55" t="e">
        <f t="shared" si="3"/>
        <v>#DIV/0!</v>
      </c>
      <c r="D58" s="52"/>
    </row>
    <row r="59" spans="1:7" x14ac:dyDescent="0.25">
      <c r="A59" s="62" t="s">
        <v>66</v>
      </c>
      <c r="B59" s="122">
        <f>B40*B58</f>
        <v>1.8155999999999996E-4</v>
      </c>
      <c r="C59" s="55" t="e">
        <f t="shared" si="3"/>
        <v>#DIV/0!</v>
      </c>
      <c r="D59" s="52"/>
    </row>
    <row r="60" spans="1:7" x14ac:dyDescent="0.25">
      <c r="A60" s="62" t="s">
        <v>67</v>
      </c>
      <c r="B60" s="122">
        <v>1.1999999999999999E-3</v>
      </c>
      <c r="C60" s="55" t="e">
        <f t="shared" si="3"/>
        <v>#DIV/0!</v>
      </c>
      <c r="D60" s="52"/>
    </row>
    <row r="61" spans="1:7" x14ac:dyDescent="0.25">
      <c r="A61" s="9" t="s">
        <v>68</v>
      </c>
      <c r="B61" s="10">
        <f>SUM(B55:B60)</f>
        <v>3.8893559999999994E-2</v>
      </c>
      <c r="C61" s="57" t="e">
        <f>SUM(C55:C60)</f>
        <v>#DIV/0!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 t="e">
        <f t="shared" ref="C64:C69" si="4">ROUND($C$8*B64,2)</f>
        <v>#DIV/0!</v>
      </c>
      <c r="D64" s="52"/>
    </row>
    <row r="65" spans="1:5" x14ac:dyDescent="0.25">
      <c r="A65" s="62" t="s">
        <v>71</v>
      </c>
      <c r="B65" s="122">
        <v>6.0000000000000001E-3</v>
      </c>
      <c r="C65" s="55" t="e">
        <f t="shared" si="4"/>
        <v>#DIV/0!</v>
      </c>
      <c r="D65" s="52"/>
    </row>
    <row r="66" spans="1:5" x14ac:dyDescent="0.25">
      <c r="A66" s="62" t="s">
        <v>72</v>
      </c>
      <c r="B66" s="122">
        <v>5.0000000000000001E-4</v>
      </c>
      <c r="C66" s="55" t="e">
        <f t="shared" si="4"/>
        <v>#DIV/0!</v>
      </c>
      <c r="D66" s="52"/>
    </row>
    <row r="67" spans="1:5" x14ac:dyDescent="0.25">
      <c r="A67" s="62" t="s">
        <v>73</v>
      </c>
      <c r="B67" s="122">
        <v>5.9999999999999995E-4</v>
      </c>
      <c r="C67" s="55" t="e">
        <f t="shared" si="4"/>
        <v>#DIV/0!</v>
      </c>
      <c r="D67" s="52"/>
    </row>
    <row r="68" spans="1:5" x14ac:dyDescent="0.25">
      <c r="A68" s="62" t="s">
        <v>74</v>
      </c>
      <c r="B68" s="122">
        <v>1E-4</v>
      </c>
      <c r="C68" s="55" t="e">
        <f t="shared" si="4"/>
        <v>#DIV/0!</v>
      </c>
      <c r="D68" s="52"/>
    </row>
    <row r="69" spans="1:5" x14ac:dyDescent="0.25">
      <c r="A69" s="62" t="s">
        <v>75</v>
      </c>
      <c r="B69" s="68">
        <v>0</v>
      </c>
      <c r="C69" s="55" t="e">
        <f t="shared" si="4"/>
        <v>#DIV/0!</v>
      </c>
      <c r="D69" s="52"/>
    </row>
    <row r="70" spans="1:5" x14ac:dyDescent="0.25">
      <c r="A70" s="141" t="s">
        <v>54</v>
      </c>
      <c r="B70" s="142"/>
      <c r="C70" s="65" t="e">
        <f>SUM(C64:C69)</f>
        <v>#DIV/0!</v>
      </c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 t="e">
        <f>ROUND($C$8*B71,2)</f>
        <v>#DIV/0!</v>
      </c>
      <c r="D71" s="52"/>
    </row>
    <row r="72" spans="1:5" x14ac:dyDescent="0.25">
      <c r="A72" s="9" t="s">
        <v>77</v>
      </c>
      <c r="B72" s="10">
        <f>SUM(B64:B69,B71)</f>
        <v>0.10419265000000001</v>
      </c>
      <c r="C72" s="57" t="e">
        <f>SUM(C64:C69)+C71</f>
        <v>#DIV/0!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 t="e">
        <f>SUM(C40,C47,C52,C61,C72)</f>
        <v>#DIV/0!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 t="e">
        <f>ROUND($C$8*B78,2)</f>
        <v>#DIV/0!</v>
      </c>
    </row>
    <row r="79" spans="1:5" x14ac:dyDescent="0.25">
      <c r="A79" s="62" t="s">
        <v>82</v>
      </c>
      <c r="B79" s="13">
        <f>B47</f>
        <v>0.12790942999999999</v>
      </c>
      <c r="C79" s="65" t="e">
        <f t="shared" ref="C79:C83" si="5">ROUND($C$8*B79,2)</f>
        <v>#DIV/0!</v>
      </c>
    </row>
    <row r="80" spans="1:5" x14ac:dyDescent="0.25">
      <c r="A80" s="62" t="s">
        <v>83</v>
      </c>
      <c r="B80" s="13">
        <f>B52</f>
        <v>2.5328600000000001E-3</v>
      </c>
      <c r="C80" s="65" t="e">
        <f t="shared" si="5"/>
        <v>#DIV/0!</v>
      </c>
    </row>
    <row r="81" spans="1:7" x14ac:dyDescent="0.25">
      <c r="A81" s="62" t="s">
        <v>84</v>
      </c>
      <c r="B81" s="13">
        <f>B61</f>
        <v>3.8893559999999994E-2</v>
      </c>
      <c r="C81" s="65" t="e">
        <f t="shared" si="5"/>
        <v>#DIV/0!</v>
      </c>
    </row>
    <row r="82" spans="1:7" x14ac:dyDescent="0.25">
      <c r="A82" s="62" t="s">
        <v>85</v>
      </c>
      <c r="B82" s="13">
        <f>B72</f>
        <v>0.10419265000000001</v>
      </c>
      <c r="C82" s="65" t="e">
        <f t="shared" si="5"/>
        <v>#DIV/0!</v>
      </c>
    </row>
    <row r="83" spans="1:7" x14ac:dyDescent="0.25">
      <c r="A83" s="62" t="s">
        <v>86</v>
      </c>
      <c r="B83" s="13">
        <v>0</v>
      </c>
      <c r="C83" s="65" t="e">
        <f t="shared" si="5"/>
        <v>#DIV/0!</v>
      </c>
    </row>
    <row r="84" spans="1:7" x14ac:dyDescent="0.25">
      <c r="A84" s="9" t="s">
        <v>87</v>
      </c>
      <c r="B84" s="10">
        <f>SUM(B78:B83)</f>
        <v>0.4248285</v>
      </c>
      <c r="C84" s="11" t="e">
        <f>SUM(C78:C83)</f>
        <v>#DIV/0!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 t="e">
        <f>C8+C20+C28+C84</f>
        <v>#DIV/0!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0.02</v>
      </c>
      <c r="C90" s="55" t="e">
        <f>ROUND($C$86*B90,2)</f>
        <v>#DIV/0!</v>
      </c>
    </row>
    <row r="91" spans="1:7" x14ac:dyDescent="0.25">
      <c r="A91" s="53" t="s">
        <v>92</v>
      </c>
      <c r="B91" s="54">
        <v>3.909999999999994E-2</v>
      </c>
      <c r="C91" s="55" t="e">
        <f>ROUND($C$86*B91,2)</f>
        <v>#DIV/0!</v>
      </c>
      <c r="E91" s="158"/>
      <c r="F91" s="159"/>
    </row>
    <row r="92" spans="1:7" x14ac:dyDescent="0.25">
      <c r="A92" s="144" t="s">
        <v>93</v>
      </c>
      <c r="B92" s="150"/>
      <c r="C92" s="31" t="e">
        <f>ROUND(SUM(C90:C91),2)</f>
        <v>#DIV/0!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115"/>
      <c r="B95" s="116"/>
      <c r="C95" s="20"/>
      <c r="E95" s="117"/>
      <c r="F95" s="118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 t="e">
        <f>ROUND($C$105*B98/$B$102,2)</f>
        <v>#DIV/0!</v>
      </c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 t="e">
        <f>ROUND($C$105*B99/$B$102,2)</f>
        <v>#DIV/0!</v>
      </c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 t="e">
        <f>ROUND($C$105*B100/$B$102,2)</f>
        <v>#DIV/0!</v>
      </c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 t="e">
        <f>ROUND($C$105*B101/$B$102,2)</f>
        <v>#DIV/0!</v>
      </c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 t="e">
        <f>ROUND($C$105*B102/$B$102,2)</f>
        <v>#DIV/0!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 t="e">
        <f>ROUND(C86+C92+C94,2)</f>
        <v>#DIV/0!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 t="e">
        <f>ROUND(C106-C104,2)</f>
        <v>#DIV/0!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 t="e">
        <f>ROUND(C104/(1-$B$102),2)</f>
        <v>#DIV/0!</v>
      </c>
      <c r="D106" s="40"/>
      <c r="E106" s="124"/>
      <c r="F106" s="124"/>
    </row>
    <row r="107" spans="1:11" s="28" customFormat="1" x14ac:dyDescent="0.25">
      <c r="A107" s="93"/>
      <c r="B107" s="115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 t="e">
        <f>ROUND(C106,2)</f>
        <v>#DIV/0!</v>
      </c>
    </row>
    <row r="110" spans="1:11" x14ac:dyDescent="0.25">
      <c r="A110" s="18"/>
      <c r="B110" s="115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 t="e">
        <f>ROUND(C109/C10,2)</f>
        <v>#DIV/0!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108:C108"/>
    <mergeCell ref="A109:B109"/>
    <mergeCell ref="A111:B111"/>
    <mergeCell ref="A112:B112"/>
    <mergeCell ref="A113:B113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88" zoomScaleNormal="80" zoomScaleSheetLayoutView="100" workbookViewId="0">
      <selection activeCell="C94" sqref="C94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.5703125" style="6" bestFit="1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110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>
        <f>Composição!B8</f>
        <v>0</v>
      </c>
      <c r="G6" s="14"/>
    </row>
    <row r="7" spans="1:13" x14ac:dyDescent="0.25">
      <c r="A7" s="15" t="s">
        <v>24</v>
      </c>
      <c r="B7" s="13">
        <v>0</v>
      </c>
      <c r="C7" s="16">
        <f>ROUND(B7*C6,2)</f>
        <v>0</v>
      </c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19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19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5.428141587779952E-2</v>
      </c>
      <c r="C90" s="55"/>
    </row>
    <row r="91" spans="1:7" x14ac:dyDescent="0.25">
      <c r="A91" s="53" t="s">
        <v>92</v>
      </c>
      <c r="B91" s="54">
        <v>6.0018475073313864E-2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19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  <c r="E106" s="124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113:B113"/>
    <mergeCell ref="A105:B105"/>
    <mergeCell ref="A106:B106"/>
    <mergeCell ref="A108:C108"/>
    <mergeCell ref="A109:B109"/>
    <mergeCell ref="A111:B111"/>
    <mergeCell ref="A112:B112"/>
    <mergeCell ref="A104:B104"/>
    <mergeCell ref="A76:C7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70:B70"/>
    <mergeCell ref="A4:C4"/>
    <mergeCell ref="A8:B8"/>
    <mergeCell ref="A13:C13"/>
    <mergeCell ref="A1:C1"/>
    <mergeCell ref="A2:C2"/>
    <mergeCell ref="A20:B20"/>
    <mergeCell ref="A22:C22"/>
    <mergeCell ref="A28:B28"/>
    <mergeCell ref="A30:C30"/>
    <mergeCell ref="A45:B4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82" zoomScaleNormal="80" zoomScaleSheetLayoutView="100" workbookViewId="0">
      <selection activeCell="C98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6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0.06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94" zoomScaleNormal="80" zoomScaleSheetLayoutView="100" workbookViewId="0">
      <selection activeCell="C98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.5703125" style="6" bestFit="1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120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0.06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  <c r="E109" s="124"/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91" zoomScaleNormal="80" zoomScaleSheetLayoutView="100" workbookViewId="0">
      <selection activeCell="C101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112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0.06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  <c r="F106" s="124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82" zoomScaleNormal="80" zoomScaleSheetLayoutView="100" workbookViewId="0">
      <selection activeCell="C98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122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6.3647168731566298E-2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82" zoomScaleNormal="80" zoomScaleSheetLayoutView="100" workbookViewId="0">
      <selection activeCell="C98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123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0.06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85" zoomScaleNormal="80" zoomScaleSheetLayoutView="100" workbookViewId="0">
      <selection activeCell="C98" sqref="C98:C101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114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77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77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0.05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78"/>
      <c r="B95" s="77"/>
      <c r="C95" s="20"/>
      <c r="E95" s="79"/>
      <c r="F95" s="80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78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78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108:C108"/>
    <mergeCell ref="A109:B109"/>
    <mergeCell ref="A111:B111"/>
    <mergeCell ref="A112:B112"/>
    <mergeCell ref="A113:B1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114"/>
  <sheetViews>
    <sheetView showGridLines="0" view="pageBreakPreview" topLeftCell="A94" zoomScaleNormal="80" zoomScaleSheetLayoutView="100" workbookViewId="0">
      <selection activeCell="C105" sqref="C105"/>
    </sheetView>
  </sheetViews>
  <sheetFormatPr defaultColWidth="9.140625" defaultRowHeight="15" x14ac:dyDescent="0.25"/>
  <cols>
    <col min="1" max="1" width="75.85546875" style="95" customWidth="1"/>
    <col min="2" max="2" width="15.7109375" style="96" customWidth="1"/>
    <col min="3" max="3" width="18.7109375" style="97" customWidth="1"/>
    <col min="4" max="4" width="5.7109375" style="6" customWidth="1"/>
    <col min="5" max="5" width="10" style="6" customWidth="1"/>
    <col min="6" max="6" width="11.7109375" style="6" customWidth="1"/>
    <col min="7" max="7" width="15" style="6" customWidth="1"/>
    <col min="8" max="8" width="12.7109375" style="6" customWidth="1"/>
    <col min="9" max="9" width="13.140625" style="6" bestFit="1" customWidth="1"/>
    <col min="10" max="10" width="12.7109375" style="6" customWidth="1"/>
    <col min="11" max="11" width="13.140625" style="6" bestFit="1" customWidth="1"/>
    <col min="12" max="16384" width="9.140625" style="6"/>
  </cols>
  <sheetData>
    <row r="1" spans="1:13" s="5" customFormat="1" ht="18.75" x14ac:dyDescent="0.25">
      <c r="A1" s="148" t="s">
        <v>121</v>
      </c>
      <c r="B1" s="148"/>
      <c r="C1" s="148"/>
    </row>
    <row r="2" spans="1:13" ht="18.600000000000001" customHeight="1" x14ac:dyDescent="0.25">
      <c r="A2" s="149" t="s">
        <v>126</v>
      </c>
      <c r="B2" s="149"/>
      <c r="C2" s="149"/>
    </row>
    <row r="3" spans="1:13" x14ac:dyDescent="0.25">
      <c r="A3" s="7"/>
      <c r="B3" s="8"/>
      <c r="C3" s="8"/>
    </row>
    <row r="4" spans="1:13" x14ac:dyDescent="0.25">
      <c r="A4" s="143" t="s">
        <v>19</v>
      </c>
      <c r="B4" s="143"/>
      <c r="C4" s="143"/>
    </row>
    <row r="5" spans="1:13" x14ac:dyDescent="0.25">
      <c r="A5" s="9" t="s">
        <v>20</v>
      </c>
      <c r="B5" s="10" t="s">
        <v>21</v>
      </c>
      <c r="C5" s="11" t="s">
        <v>22</v>
      </c>
    </row>
    <row r="6" spans="1:13" x14ac:dyDescent="0.25">
      <c r="A6" s="12" t="s">
        <v>23</v>
      </c>
      <c r="B6" s="13">
        <v>1</v>
      </c>
      <c r="C6" s="111"/>
      <c r="G6" s="14"/>
    </row>
    <row r="7" spans="1:13" x14ac:dyDescent="0.25">
      <c r="A7" s="15" t="s">
        <v>24</v>
      </c>
      <c r="B7" s="13">
        <v>0</v>
      </c>
      <c r="C7" s="16"/>
    </row>
    <row r="8" spans="1:13" x14ac:dyDescent="0.25">
      <c r="A8" s="144" t="s">
        <v>25</v>
      </c>
      <c r="B8" s="145"/>
      <c r="C8" s="17">
        <f>C6+C7</f>
        <v>0</v>
      </c>
    </row>
    <row r="9" spans="1:13" x14ac:dyDescent="0.25">
      <c r="A9" s="18"/>
      <c r="B9" s="116"/>
      <c r="C9" s="20"/>
    </row>
    <row r="10" spans="1:13" x14ac:dyDescent="0.25">
      <c r="A10" s="21" t="s">
        <v>26</v>
      </c>
      <c r="B10" s="22"/>
      <c r="C10" s="23">
        <v>160</v>
      </c>
    </row>
    <row r="11" spans="1:13" x14ac:dyDescent="0.25">
      <c r="A11" s="21" t="s">
        <v>27</v>
      </c>
      <c r="B11" s="22"/>
      <c r="C11" s="23">
        <f>ROUND(C8/C10,2)</f>
        <v>0</v>
      </c>
    </row>
    <row r="12" spans="1:13" x14ac:dyDescent="0.25">
      <c r="A12" s="18"/>
      <c r="B12" s="116"/>
      <c r="C12" s="20"/>
    </row>
    <row r="13" spans="1:13" x14ac:dyDescent="0.25">
      <c r="A13" s="146" t="s">
        <v>28</v>
      </c>
      <c r="B13" s="147"/>
      <c r="C13" s="147"/>
      <c r="D13" s="28"/>
      <c r="E13" s="104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9" t="s">
        <v>29</v>
      </c>
      <c r="B14" s="10" t="s">
        <v>21</v>
      </c>
      <c r="C14" s="98" t="s">
        <v>22</v>
      </c>
      <c r="D14" s="28"/>
      <c r="E14" s="105"/>
      <c r="F14" s="106"/>
      <c r="G14" s="28"/>
      <c r="H14" s="28"/>
      <c r="I14" s="28"/>
      <c r="J14" s="28"/>
      <c r="K14" s="28"/>
      <c r="L14" s="28"/>
      <c r="M14" s="28"/>
    </row>
    <row r="15" spans="1:13" x14ac:dyDescent="0.25">
      <c r="A15" s="24" t="s">
        <v>30</v>
      </c>
      <c r="B15" s="25">
        <v>0</v>
      </c>
      <c r="C15" s="99"/>
      <c r="D15" s="40"/>
      <c r="E15" s="20"/>
      <c r="F15" s="107"/>
      <c r="G15" s="28"/>
      <c r="H15" s="27"/>
      <c r="I15" s="28"/>
      <c r="J15" s="28"/>
      <c r="K15" s="28"/>
      <c r="L15" s="28"/>
      <c r="M15" s="28"/>
    </row>
    <row r="16" spans="1:13" x14ac:dyDescent="0.25">
      <c r="A16" s="24" t="s">
        <v>31</v>
      </c>
      <c r="B16" s="25">
        <v>0</v>
      </c>
      <c r="C16" s="99"/>
      <c r="D16" s="28"/>
      <c r="E16" s="28"/>
      <c r="F16" s="108"/>
      <c r="G16" s="28"/>
      <c r="H16" s="28"/>
      <c r="I16" s="28"/>
      <c r="J16" s="28"/>
      <c r="K16" s="39"/>
      <c r="L16" s="28"/>
      <c r="M16" s="28"/>
    </row>
    <row r="17" spans="1:13" x14ac:dyDescent="0.25">
      <c r="A17" s="24" t="s">
        <v>32</v>
      </c>
      <c r="B17" s="25">
        <v>0</v>
      </c>
      <c r="C17" s="99"/>
      <c r="D17" s="28"/>
      <c r="E17" s="28"/>
      <c r="F17" s="28"/>
      <c r="G17" s="40"/>
      <c r="H17" s="27"/>
      <c r="I17" s="27"/>
      <c r="J17" s="27"/>
      <c r="K17" s="27"/>
      <c r="L17" s="28"/>
      <c r="M17" s="28"/>
    </row>
    <row r="18" spans="1:13" x14ac:dyDescent="0.25">
      <c r="A18" s="24" t="s">
        <v>33</v>
      </c>
      <c r="B18" s="25">
        <v>0</v>
      </c>
      <c r="C18" s="99"/>
      <c r="D18" s="28"/>
      <c r="E18" s="28"/>
      <c r="F18" s="28"/>
      <c r="G18" s="30"/>
      <c r="H18" s="29"/>
      <c r="I18" s="29"/>
      <c r="J18" s="30"/>
      <c r="K18" s="29"/>
      <c r="L18" s="28"/>
      <c r="M18" s="28"/>
    </row>
    <row r="19" spans="1:13" x14ac:dyDescent="0.25">
      <c r="A19" s="24" t="s">
        <v>127</v>
      </c>
      <c r="B19" s="25">
        <v>0.1</v>
      </c>
      <c r="C19" s="99"/>
      <c r="D19" s="28"/>
      <c r="E19" s="28"/>
      <c r="F19" s="30"/>
      <c r="G19" s="33"/>
      <c r="H19" s="33"/>
      <c r="I19" s="33"/>
      <c r="J19" s="33"/>
      <c r="K19" s="33"/>
      <c r="L19" s="28"/>
      <c r="M19" s="28"/>
    </row>
    <row r="20" spans="1:13" x14ac:dyDescent="0.25">
      <c r="A20" s="144" t="s">
        <v>34</v>
      </c>
      <c r="B20" s="150"/>
      <c r="C20" s="101">
        <f>ROUND(SUM(C15:C19),2)</f>
        <v>0</v>
      </c>
      <c r="D20" s="28"/>
      <c r="E20" s="28"/>
      <c r="F20" s="32"/>
      <c r="G20" s="109"/>
      <c r="H20" s="33"/>
      <c r="I20" s="33"/>
      <c r="J20" s="33"/>
      <c r="K20" s="33"/>
      <c r="L20" s="28"/>
      <c r="M20" s="28"/>
    </row>
    <row r="21" spans="1:13" x14ac:dyDescent="0.25">
      <c r="A21" s="34"/>
      <c r="B21" s="35"/>
      <c r="C21" s="36"/>
      <c r="D21" s="28"/>
      <c r="E21" s="28"/>
      <c r="F21" s="30"/>
      <c r="G21" s="33"/>
      <c r="H21" s="33"/>
      <c r="I21" s="33"/>
      <c r="J21" s="33"/>
      <c r="K21" s="33"/>
      <c r="L21" s="28"/>
      <c r="M21" s="28"/>
    </row>
    <row r="22" spans="1:13" x14ac:dyDescent="0.25">
      <c r="A22" s="143" t="s">
        <v>35</v>
      </c>
      <c r="B22" s="143"/>
      <c r="C22" s="151"/>
      <c r="D22" s="28"/>
      <c r="E22" s="28"/>
      <c r="F22" s="30"/>
      <c r="G22" s="33"/>
      <c r="H22" s="33"/>
      <c r="I22" s="33"/>
      <c r="J22" s="33"/>
      <c r="K22" s="33"/>
      <c r="L22" s="28"/>
      <c r="M22" s="28"/>
    </row>
    <row r="23" spans="1:13" x14ac:dyDescent="0.25">
      <c r="A23" s="37" t="s">
        <v>29</v>
      </c>
      <c r="B23" s="38" t="s">
        <v>21</v>
      </c>
      <c r="C23" s="102" t="s">
        <v>22</v>
      </c>
      <c r="D23" s="28"/>
      <c r="E23" s="28"/>
      <c r="F23" s="28"/>
      <c r="G23" s="28"/>
      <c r="H23" s="27"/>
      <c r="I23" s="33"/>
      <c r="J23" s="33"/>
      <c r="K23" s="33"/>
      <c r="L23" s="28"/>
      <c r="M23" s="28"/>
    </row>
    <row r="24" spans="1:13" x14ac:dyDescent="0.25">
      <c r="A24" s="24" t="s">
        <v>36</v>
      </c>
      <c r="B24" s="25">
        <v>0</v>
      </c>
      <c r="C24" s="100"/>
      <c r="D24" s="28"/>
      <c r="E24" s="28"/>
      <c r="F24" s="28"/>
      <c r="G24" s="28"/>
      <c r="H24" s="28"/>
      <c r="I24" s="39"/>
      <c r="J24" s="28"/>
      <c r="K24" s="28"/>
      <c r="L24" s="28"/>
      <c r="M24" s="28"/>
    </row>
    <row r="25" spans="1:13" x14ac:dyDescent="0.25">
      <c r="A25" s="24" t="s">
        <v>37</v>
      </c>
      <c r="B25" s="25">
        <v>0</v>
      </c>
      <c r="C25" s="100"/>
      <c r="D25" s="28"/>
      <c r="E25" s="28"/>
      <c r="F25" s="29"/>
      <c r="G25" s="40"/>
      <c r="H25" s="40"/>
      <c r="I25" s="40"/>
      <c r="J25" s="40"/>
      <c r="K25" s="27"/>
      <c r="L25" s="28"/>
      <c r="M25" s="28"/>
    </row>
    <row r="26" spans="1:13" x14ac:dyDescent="0.25">
      <c r="A26" s="41" t="str">
        <f>"C - Treinamento e/ou reciclagem / - (" &amp; TEXT(B26,"0,00%") &amp; ") sobre o salário"</f>
        <v>C - Treinamento e/ou reciclagem / - (0,00%) sobre o salário</v>
      </c>
      <c r="B26" s="42">
        <v>0</v>
      </c>
      <c r="C26" s="100"/>
      <c r="D26" s="28"/>
      <c r="E26" s="28"/>
      <c r="F26" s="29"/>
      <c r="G26" s="30"/>
      <c r="H26" s="29"/>
      <c r="I26" s="30"/>
      <c r="J26" s="40"/>
      <c r="K26" s="27"/>
      <c r="L26" s="28"/>
      <c r="M26" s="28"/>
    </row>
    <row r="27" spans="1:13" x14ac:dyDescent="0.25">
      <c r="A27" s="43" t="s">
        <v>38</v>
      </c>
      <c r="B27" s="44">
        <v>0</v>
      </c>
      <c r="C27" s="100"/>
      <c r="D27" s="40"/>
      <c r="E27" s="28"/>
      <c r="F27" s="29"/>
      <c r="G27" s="33"/>
      <c r="H27" s="33"/>
      <c r="I27" s="33"/>
      <c r="J27" s="28"/>
      <c r="K27" s="28"/>
      <c r="L27" s="28"/>
      <c r="M27" s="28"/>
    </row>
    <row r="28" spans="1:13" x14ac:dyDescent="0.25">
      <c r="A28" s="144" t="s">
        <v>39</v>
      </c>
      <c r="B28" s="150"/>
      <c r="C28" s="101">
        <f>ROUND(SUM(C24:C27),2)</f>
        <v>0</v>
      </c>
      <c r="D28" s="28"/>
      <c r="E28" s="28"/>
      <c r="F28" s="29"/>
      <c r="G28" s="45"/>
      <c r="H28" s="45"/>
      <c r="I28" s="45"/>
      <c r="J28" s="45"/>
      <c r="K28" s="45"/>
      <c r="L28" s="28"/>
      <c r="M28" s="28"/>
    </row>
    <row r="29" spans="1:13" x14ac:dyDescent="0.25">
      <c r="A29" s="46"/>
      <c r="B29" s="47"/>
      <c r="C29" s="48"/>
      <c r="D29" s="28"/>
      <c r="E29" s="28"/>
      <c r="F29" s="28"/>
      <c r="G29" s="27"/>
      <c r="H29" s="27"/>
      <c r="I29" s="110"/>
      <c r="J29" s="27"/>
      <c r="K29" s="27"/>
      <c r="L29" s="28"/>
      <c r="M29" s="28"/>
    </row>
    <row r="30" spans="1:13" x14ac:dyDescent="0.25">
      <c r="A30" s="143" t="s">
        <v>40</v>
      </c>
      <c r="B30" s="143"/>
      <c r="C30" s="151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s="49" customFormat="1" x14ac:dyDescent="0.25">
      <c r="A31" s="37" t="s">
        <v>41</v>
      </c>
      <c r="B31" s="38" t="s">
        <v>21</v>
      </c>
      <c r="C31" s="102" t="s">
        <v>22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1:13" ht="30" x14ac:dyDescent="0.25">
      <c r="A32" s="50" t="s">
        <v>42</v>
      </c>
      <c r="B32" s="51">
        <v>0</v>
      </c>
      <c r="C32" s="103"/>
      <c r="D32" s="52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53" t="s">
        <v>43</v>
      </c>
      <c r="B33" s="122">
        <v>1.4999999999999999E-2</v>
      </c>
      <c r="C33" s="26"/>
      <c r="D33" s="52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53" t="s">
        <v>44</v>
      </c>
      <c r="B34" s="122">
        <v>0.01</v>
      </c>
      <c r="C34" s="55"/>
      <c r="D34" s="52"/>
      <c r="E34" s="28"/>
    </row>
    <row r="35" spans="1:13" x14ac:dyDescent="0.25">
      <c r="A35" s="53" t="s">
        <v>45</v>
      </c>
      <c r="B35" s="122">
        <v>2E-3</v>
      </c>
      <c r="C35" s="55"/>
      <c r="D35" s="52"/>
      <c r="E35" s="28"/>
    </row>
    <row r="36" spans="1:13" x14ac:dyDescent="0.25">
      <c r="A36" s="53" t="s">
        <v>46</v>
      </c>
      <c r="B36" s="122">
        <v>2.5000000000000001E-2</v>
      </c>
      <c r="C36" s="55"/>
      <c r="D36" s="52"/>
      <c r="E36" s="28"/>
    </row>
    <row r="37" spans="1:13" x14ac:dyDescent="0.25">
      <c r="A37" s="53" t="s">
        <v>47</v>
      </c>
      <c r="B37" s="122">
        <v>0.08</v>
      </c>
      <c r="C37" s="55"/>
      <c r="D37" s="52"/>
    </row>
    <row r="38" spans="1:13" x14ac:dyDescent="0.25">
      <c r="A38" s="53" t="s">
        <v>48</v>
      </c>
      <c r="B38" s="122">
        <v>1.3299999999999999E-2</v>
      </c>
      <c r="C38" s="55"/>
      <c r="D38" s="52"/>
    </row>
    <row r="39" spans="1:13" x14ac:dyDescent="0.25">
      <c r="A39" s="53" t="s">
        <v>49</v>
      </c>
      <c r="B39" s="122">
        <v>6.0000000000000001E-3</v>
      </c>
      <c r="C39" s="56"/>
      <c r="D39" s="52"/>
    </row>
    <row r="40" spans="1:13" x14ac:dyDescent="0.25">
      <c r="A40" s="9" t="s">
        <v>50</v>
      </c>
      <c r="B40" s="10">
        <f>ROUND(SUM(B32:B39),4)</f>
        <v>0.15129999999999999</v>
      </c>
      <c r="C40" s="57">
        <f>ROUND(SUM(C32:C39),2)</f>
        <v>0</v>
      </c>
      <c r="D40" s="52"/>
      <c r="E40" s="28"/>
    </row>
    <row r="41" spans="1:13" x14ac:dyDescent="0.25">
      <c r="A41" s="58"/>
      <c r="B41" s="59"/>
      <c r="C41" s="60"/>
      <c r="D41" s="52"/>
    </row>
    <row r="42" spans="1:13" x14ac:dyDescent="0.25">
      <c r="A42" s="9" t="s">
        <v>51</v>
      </c>
      <c r="B42" s="61" t="s">
        <v>21</v>
      </c>
      <c r="C42" s="11" t="s">
        <v>22</v>
      </c>
      <c r="D42" s="52"/>
    </row>
    <row r="43" spans="1:13" x14ac:dyDescent="0.25">
      <c r="A43" s="62" t="s">
        <v>52</v>
      </c>
      <c r="B43" s="122">
        <v>8.3299999999999999E-2</v>
      </c>
      <c r="C43" s="63"/>
      <c r="D43" s="52"/>
    </row>
    <row r="44" spans="1:13" x14ac:dyDescent="0.25">
      <c r="A44" s="62" t="s">
        <v>53</v>
      </c>
      <c r="B44" s="122">
        <v>2.7799999999999998E-2</v>
      </c>
      <c r="C44" s="55"/>
      <c r="D44" s="52"/>
      <c r="I44" s="64"/>
    </row>
    <row r="45" spans="1:13" x14ac:dyDescent="0.25">
      <c r="A45" s="152" t="s">
        <v>54</v>
      </c>
      <c r="B45" s="142"/>
      <c r="C45" s="65"/>
      <c r="D45" s="52"/>
    </row>
    <row r="46" spans="1:13" x14ac:dyDescent="0.25">
      <c r="A46" s="66" t="s">
        <v>55</v>
      </c>
      <c r="B46" s="54">
        <f>SUM(B43:B44)*B40</f>
        <v>1.680943E-2</v>
      </c>
      <c r="C46" s="55"/>
      <c r="D46" s="52"/>
    </row>
    <row r="47" spans="1:13" x14ac:dyDescent="0.25">
      <c r="A47" s="9" t="s">
        <v>56</v>
      </c>
      <c r="B47" s="10">
        <f>SUM(B43:B44,B46)</f>
        <v>0.12790942999999999</v>
      </c>
      <c r="C47" s="57">
        <f>C45+C46</f>
        <v>0</v>
      </c>
      <c r="D47" s="52"/>
      <c r="E47" s="28"/>
    </row>
    <row r="48" spans="1:13" x14ac:dyDescent="0.25">
      <c r="A48" s="58"/>
      <c r="B48" s="59"/>
      <c r="C48" s="60"/>
      <c r="D48" s="52"/>
    </row>
    <row r="49" spans="1:7" x14ac:dyDescent="0.25">
      <c r="A49" s="9" t="s">
        <v>57</v>
      </c>
      <c r="B49" s="61" t="s">
        <v>21</v>
      </c>
      <c r="C49" s="11" t="s">
        <v>22</v>
      </c>
      <c r="D49" s="52"/>
    </row>
    <row r="50" spans="1:7" x14ac:dyDescent="0.25">
      <c r="A50" s="62" t="s">
        <v>58</v>
      </c>
      <c r="B50" s="122">
        <v>2.2000000000000001E-3</v>
      </c>
      <c r="C50" s="55"/>
      <c r="D50" s="52"/>
      <c r="G50" s="67"/>
    </row>
    <row r="51" spans="1:7" x14ac:dyDescent="0.25">
      <c r="A51" s="62" t="s">
        <v>59</v>
      </c>
      <c r="B51" s="54">
        <f>B50*B40</f>
        <v>3.3285999999999998E-4</v>
      </c>
      <c r="C51" s="55"/>
      <c r="D51" s="52"/>
    </row>
    <row r="52" spans="1:7" x14ac:dyDescent="0.25">
      <c r="A52" s="9" t="s">
        <v>60</v>
      </c>
      <c r="B52" s="10">
        <f>SUM(B50:B51)</f>
        <v>2.5328600000000001E-3</v>
      </c>
      <c r="C52" s="57">
        <f>SUM(C50:C51)</f>
        <v>0</v>
      </c>
      <c r="D52" s="52"/>
      <c r="E52" s="28"/>
    </row>
    <row r="53" spans="1:7" x14ac:dyDescent="0.25">
      <c r="A53" s="58"/>
      <c r="B53" s="59"/>
      <c r="C53" s="60"/>
      <c r="D53" s="52"/>
    </row>
    <row r="54" spans="1:7" x14ac:dyDescent="0.25">
      <c r="A54" s="9" t="s">
        <v>61</v>
      </c>
      <c r="B54" s="61" t="s">
        <v>21</v>
      </c>
      <c r="C54" s="11" t="s">
        <v>22</v>
      </c>
      <c r="D54" s="52"/>
    </row>
    <row r="55" spans="1:7" x14ac:dyDescent="0.25">
      <c r="A55" s="62" t="s">
        <v>62</v>
      </c>
      <c r="B55" s="122">
        <v>6.4000000000000003E-3</v>
      </c>
      <c r="C55" s="55"/>
      <c r="D55" s="52"/>
    </row>
    <row r="56" spans="1:7" x14ac:dyDescent="0.25">
      <c r="A56" s="62" t="s">
        <v>63</v>
      </c>
      <c r="B56" s="68">
        <f>B55*B37</f>
        <v>5.1200000000000009E-4</v>
      </c>
      <c r="C56" s="55"/>
      <c r="D56" s="52"/>
    </row>
    <row r="57" spans="1:7" x14ac:dyDescent="0.25">
      <c r="A57" s="62" t="s">
        <v>64</v>
      </c>
      <c r="B57" s="122">
        <v>2.9399999999999999E-2</v>
      </c>
      <c r="C57" s="55"/>
      <c r="D57" s="52"/>
    </row>
    <row r="58" spans="1:7" x14ac:dyDescent="0.25">
      <c r="A58" s="62" t="s">
        <v>65</v>
      </c>
      <c r="B58" s="122">
        <v>1.1999999999999999E-3</v>
      </c>
      <c r="C58" s="55"/>
      <c r="D58" s="52"/>
    </row>
    <row r="59" spans="1:7" x14ac:dyDescent="0.25">
      <c r="A59" s="62" t="s">
        <v>66</v>
      </c>
      <c r="B59" s="122">
        <f>B40*B58</f>
        <v>1.8155999999999996E-4</v>
      </c>
      <c r="C59" s="55"/>
      <c r="D59" s="52"/>
    </row>
    <row r="60" spans="1:7" x14ac:dyDescent="0.25">
      <c r="A60" s="62" t="s">
        <v>67</v>
      </c>
      <c r="B60" s="122">
        <v>1.1999999999999999E-3</v>
      </c>
      <c r="C60" s="55"/>
      <c r="D60" s="52"/>
    </row>
    <row r="61" spans="1:7" x14ac:dyDescent="0.25">
      <c r="A61" s="9" t="s">
        <v>68</v>
      </c>
      <c r="B61" s="10">
        <f>SUM(B55:B60)</f>
        <v>3.8893559999999994E-2</v>
      </c>
      <c r="C61" s="57">
        <f>SUM(C55:C60)</f>
        <v>0</v>
      </c>
      <c r="D61" s="52"/>
      <c r="E61" s="28"/>
    </row>
    <row r="62" spans="1:7" x14ac:dyDescent="0.25">
      <c r="A62" s="58"/>
      <c r="B62" s="59"/>
      <c r="C62" s="60"/>
      <c r="D62" s="52"/>
    </row>
    <row r="63" spans="1:7" x14ac:dyDescent="0.25">
      <c r="A63" s="9" t="s">
        <v>69</v>
      </c>
      <c r="B63" s="61" t="s">
        <v>21</v>
      </c>
      <c r="C63" s="11" t="s">
        <v>22</v>
      </c>
      <c r="D63" s="52"/>
    </row>
    <row r="64" spans="1:7" x14ac:dyDescent="0.25">
      <c r="A64" s="62" t="s">
        <v>70</v>
      </c>
      <c r="B64" s="122">
        <v>8.3299999999999999E-2</v>
      </c>
      <c r="C64" s="55"/>
      <c r="D64" s="52"/>
    </row>
    <row r="65" spans="1:5" x14ac:dyDescent="0.25">
      <c r="A65" s="62" t="s">
        <v>71</v>
      </c>
      <c r="B65" s="122">
        <v>6.0000000000000001E-3</v>
      </c>
      <c r="C65" s="55"/>
      <c r="D65" s="52"/>
    </row>
    <row r="66" spans="1:5" x14ac:dyDescent="0.25">
      <c r="A66" s="62" t="s">
        <v>72</v>
      </c>
      <c r="B66" s="122">
        <v>5.0000000000000001E-4</v>
      </c>
      <c r="C66" s="55"/>
      <c r="D66" s="52"/>
    </row>
    <row r="67" spans="1:5" x14ac:dyDescent="0.25">
      <c r="A67" s="62" t="s">
        <v>73</v>
      </c>
      <c r="B67" s="122">
        <v>5.9999999999999995E-4</v>
      </c>
      <c r="C67" s="55"/>
      <c r="D67" s="52"/>
    </row>
    <row r="68" spans="1:5" x14ac:dyDescent="0.25">
      <c r="A68" s="62" t="s">
        <v>74</v>
      </c>
      <c r="B68" s="122">
        <v>1E-4</v>
      </c>
      <c r="C68" s="55"/>
      <c r="D68" s="52"/>
    </row>
    <row r="69" spans="1:5" x14ac:dyDescent="0.25">
      <c r="A69" s="62" t="s">
        <v>75</v>
      </c>
      <c r="B69" s="68">
        <v>0</v>
      </c>
      <c r="C69" s="55"/>
      <c r="D69" s="52"/>
    </row>
    <row r="70" spans="1:5" x14ac:dyDescent="0.25">
      <c r="A70" s="141" t="s">
        <v>54</v>
      </c>
      <c r="B70" s="142"/>
      <c r="C70" s="65"/>
      <c r="D70" s="52"/>
      <c r="E70" s="28"/>
    </row>
    <row r="71" spans="1:5" x14ac:dyDescent="0.25">
      <c r="A71" s="66" t="s">
        <v>76</v>
      </c>
      <c r="B71" s="54">
        <f>SUM(B64:B69)*B40</f>
        <v>1.3692650000000001E-2</v>
      </c>
      <c r="C71" s="55"/>
      <c r="D71" s="52"/>
    </row>
    <row r="72" spans="1:5" x14ac:dyDescent="0.25">
      <c r="A72" s="9" t="s">
        <v>77</v>
      </c>
      <c r="B72" s="10">
        <f>SUM(B64:B69,B71)</f>
        <v>0.10419265000000001</v>
      </c>
      <c r="C72" s="57">
        <f>SUM(C64:C69)+C71</f>
        <v>0</v>
      </c>
      <c r="D72" s="52"/>
      <c r="E72" s="28"/>
    </row>
    <row r="73" spans="1:5" x14ac:dyDescent="0.25">
      <c r="A73" s="58"/>
      <c r="B73" s="59"/>
      <c r="C73" s="60"/>
      <c r="D73" s="52"/>
    </row>
    <row r="74" spans="1:5" s="49" customFormat="1" x14ac:dyDescent="0.25">
      <c r="A74" s="9" t="s">
        <v>78</v>
      </c>
      <c r="B74" s="61">
        <f>SUM(B40,B47,B52,B61,B72)</f>
        <v>0.4248285</v>
      </c>
      <c r="C74" s="11">
        <f>SUM(C40,C47,C52,C61,C72)</f>
        <v>0</v>
      </c>
      <c r="D74" s="69"/>
    </row>
    <row r="75" spans="1:5" x14ac:dyDescent="0.25">
      <c r="A75" s="70"/>
      <c r="B75" s="71"/>
      <c r="C75" s="72"/>
    </row>
    <row r="76" spans="1:5" x14ac:dyDescent="0.25">
      <c r="A76" s="143" t="s">
        <v>79</v>
      </c>
      <c r="B76" s="143"/>
      <c r="C76" s="143"/>
    </row>
    <row r="77" spans="1:5" x14ac:dyDescent="0.25">
      <c r="A77" s="37" t="s">
        <v>80</v>
      </c>
      <c r="B77" s="10" t="s">
        <v>21</v>
      </c>
      <c r="C77" s="11" t="s">
        <v>22</v>
      </c>
    </row>
    <row r="78" spans="1:5" x14ac:dyDescent="0.25">
      <c r="A78" s="62" t="s">
        <v>81</v>
      </c>
      <c r="B78" s="13">
        <f>B40</f>
        <v>0.15129999999999999</v>
      </c>
      <c r="C78" s="65"/>
    </row>
    <row r="79" spans="1:5" x14ac:dyDescent="0.25">
      <c r="A79" s="62" t="s">
        <v>82</v>
      </c>
      <c r="B79" s="13">
        <f>B47</f>
        <v>0.12790942999999999</v>
      </c>
      <c r="C79" s="65"/>
    </row>
    <row r="80" spans="1:5" x14ac:dyDescent="0.25">
      <c r="A80" s="62" t="s">
        <v>83</v>
      </c>
      <c r="B80" s="13">
        <f>B52</f>
        <v>2.5328600000000001E-3</v>
      </c>
      <c r="C80" s="65"/>
    </row>
    <row r="81" spans="1:7" x14ac:dyDescent="0.25">
      <c r="A81" s="62" t="s">
        <v>84</v>
      </c>
      <c r="B81" s="13">
        <f>B61</f>
        <v>3.8893559999999994E-2</v>
      </c>
      <c r="C81" s="65"/>
    </row>
    <row r="82" spans="1:7" x14ac:dyDescent="0.25">
      <c r="A82" s="62" t="s">
        <v>85</v>
      </c>
      <c r="B82" s="13">
        <f>B72</f>
        <v>0.10419265000000001</v>
      </c>
      <c r="C82" s="65"/>
    </row>
    <row r="83" spans="1:7" x14ac:dyDescent="0.25">
      <c r="A83" s="62" t="s">
        <v>86</v>
      </c>
      <c r="B83" s="13">
        <v>0</v>
      </c>
      <c r="C83" s="65"/>
    </row>
    <row r="84" spans="1:7" x14ac:dyDescent="0.25">
      <c r="A84" s="9" t="s">
        <v>87</v>
      </c>
      <c r="B84" s="10">
        <f>SUM(B78:B83)</f>
        <v>0.4248285</v>
      </c>
      <c r="C84" s="11">
        <f>SUM(C78:C83)</f>
        <v>0</v>
      </c>
    </row>
    <row r="85" spans="1:7" x14ac:dyDescent="0.25">
      <c r="A85" s="73"/>
      <c r="B85" s="59"/>
      <c r="C85" s="60"/>
    </row>
    <row r="86" spans="1:7" x14ac:dyDescent="0.25">
      <c r="A86" s="155" t="s">
        <v>88</v>
      </c>
      <c r="B86" s="155"/>
      <c r="C86" s="11">
        <f>C8+C20+C28+C84</f>
        <v>0</v>
      </c>
    </row>
    <row r="87" spans="1:7" x14ac:dyDescent="0.25">
      <c r="A87" s="74"/>
      <c r="B87" s="74"/>
      <c r="C87" s="20"/>
      <c r="E87" s="28"/>
    </row>
    <row r="88" spans="1:7" x14ac:dyDescent="0.25">
      <c r="A88" s="151" t="s">
        <v>89</v>
      </c>
      <c r="B88" s="156"/>
      <c r="C88" s="157"/>
      <c r="E88" s="28"/>
    </row>
    <row r="89" spans="1:7" x14ac:dyDescent="0.25">
      <c r="A89" s="75" t="s">
        <v>90</v>
      </c>
      <c r="B89" s="61" t="s">
        <v>21</v>
      </c>
      <c r="C89" s="76" t="s">
        <v>22</v>
      </c>
      <c r="E89" s="52"/>
    </row>
    <row r="90" spans="1:7" x14ac:dyDescent="0.25">
      <c r="A90" s="53" t="s">
        <v>91</v>
      </c>
      <c r="B90" s="54">
        <v>0.05</v>
      </c>
      <c r="C90" s="55"/>
    </row>
    <row r="91" spans="1:7" x14ac:dyDescent="0.25">
      <c r="A91" s="53" t="s">
        <v>92</v>
      </c>
      <c r="B91" s="54">
        <v>0.05</v>
      </c>
      <c r="C91" s="55"/>
      <c r="E91" s="158"/>
      <c r="F91" s="159"/>
    </row>
    <row r="92" spans="1:7" x14ac:dyDescent="0.25">
      <c r="A92" s="144" t="s">
        <v>93</v>
      </c>
      <c r="B92" s="150"/>
      <c r="C92" s="31">
        <f>ROUND(SUM(C90:C91),2)</f>
        <v>0</v>
      </c>
      <c r="E92" s="158"/>
      <c r="F92" s="159"/>
    </row>
    <row r="93" spans="1:7" x14ac:dyDescent="0.25">
      <c r="A93" s="160"/>
      <c r="B93" s="161"/>
      <c r="C93" s="20"/>
      <c r="E93" s="158"/>
      <c r="F93" s="159"/>
    </row>
    <row r="94" spans="1:7" x14ac:dyDescent="0.25">
      <c r="A94" s="144" t="s">
        <v>94</v>
      </c>
      <c r="B94" s="150"/>
      <c r="C94" s="31">
        <f>Composição!K9</f>
        <v>0</v>
      </c>
      <c r="E94" s="158"/>
      <c r="F94" s="159"/>
    </row>
    <row r="95" spans="1:7" x14ac:dyDescent="0.25">
      <c r="A95" s="115"/>
      <c r="B95" s="116"/>
      <c r="C95" s="20"/>
      <c r="E95" s="117"/>
      <c r="F95" s="118"/>
    </row>
    <row r="96" spans="1:7" x14ac:dyDescent="0.25">
      <c r="A96" s="151" t="s">
        <v>95</v>
      </c>
      <c r="B96" s="156"/>
      <c r="C96" s="157"/>
      <c r="E96" s="28"/>
      <c r="F96" s="28"/>
      <c r="G96" s="28"/>
    </row>
    <row r="97" spans="1:11" x14ac:dyDescent="0.25">
      <c r="A97" s="75" t="s">
        <v>96</v>
      </c>
      <c r="B97" s="61" t="s">
        <v>21</v>
      </c>
      <c r="C97" s="76" t="s">
        <v>22</v>
      </c>
      <c r="E97" s="28"/>
      <c r="F97" s="28"/>
      <c r="G97" s="28"/>
    </row>
    <row r="98" spans="1:11" x14ac:dyDescent="0.25">
      <c r="A98" s="15" t="s">
        <v>97</v>
      </c>
      <c r="B98" s="13">
        <v>0.02</v>
      </c>
      <c r="C98" s="81"/>
      <c r="E98" s="82"/>
      <c r="F98" s="28"/>
      <c r="G98" s="28"/>
      <c r="H98" s="28"/>
      <c r="I98" s="28"/>
      <c r="J98" s="28"/>
    </row>
    <row r="99" spans="1:11" x14ac:dyDescent="0.25">
      <c r="A99" s="15" t="s">
        <v>98</v>
      </c>
      <c r="B99" s="13">
        <v>6.4999999999999997E-3</v>
      </c>
      <c r="C99" s="81"/>
      <c r="F99" s="28"/>
      <c r="G99" s="28"/>
      <c r="H99" s="28"/>
      <c r="I99" s="28"/>
      <c r="J99" s="28"/>
    </row>
    <row r="100" spans="1:11" x14ac:dyDescent="0.25">
      <c r="A100" s="15" t="s">
        <v>99</v>
      </c>
      <c r="B100" s="13">
        <v>0.03</v>
      </c>
      <c r="C100" s="81"/>
      <c r="F100" s="28"/>
      <c r="G100" s="28"/>
      <c r="H100" s="28"/>
      <c r="I100" s="28"/>
      <c r="J100" s="28"/>
    </row>
    <row r="101" spans="1:11" ht="30" x14ac:dyDescent="0.25">
      <c r="A101" s="83" t="s">
        <v>100</v>
      </c>
      <c r="B101" s="13">
        <v>4.4999999999999998E-2</v>
      </c>
      <c r="C101" s="84"/>
      <c r="F101" s="28"/>
      <c r="G101" s="28"/>
      <c r="H101" s="28"/>
      <c r="I101" s="28"/>
      <c r="J101" s="28"/>
    </row>
    <row r="102" spans="1:11" x14ac:dyDescent="0.25">
      <c r="A102" s="85" t="s">
        <v>101</v>
      </c>
      <c r="B102" s="86">
        <f>ROUND(SUM(B98:B101),4)</f>
        <v>0.10150000000000001</v>
      </c>
      <c r="C102" s="87">
        <f>ROUND($C$105*B102/$B$102,2)</f>
        <v>0</v>
      </c>
      <c r="E102" s="88"/>
      <c r="F102" s="28"/>
      <c r="G102" s="28"/>
      <c r="H102" s="28"/>
      <c r="I102" s="28"/>
      <c r="J102" s="28"/>
    </row>
    <row r="103" spans="1:11" s="28" customFormat="1" x14ac:dyDescent="0.25">
      <c r="A103" s="89"/>
      <c r="B103" s="90"/>
      <c r="C103" s="91"/>
      <c r="D103" s="40"/>
      <c r="E103" s="6"/>
      <c r="H103" s="6"/>
      <c r="I103" s="6"/>
      <c r="J103" s="6"/>
    </row>
    <row r="104" spans="1:11" s="28" customFormat="1" x14ac:dyDescent="0.25">
      <c r="A104" s="153" t="s">
        <v>102</v>
      </c>
      <c r="B104" s="154"/>
      <c r="C104" s="92">
        <f>ROUND(C86+C92+C94,2)</f>
        <v>0</v>
      </c>
      <c r="E104" s="6"/>
      <c r="F104" s="6"/>
      <c r="G104" s="6"/>
      <c r="H104" s="6"/>
      <c r="I104" s="6"/>
      <c r="J104" s="6"/>
      <c r="K104" s="6"/>
    </row>
    <row r="105" spans="1:11" x14ac:dyDescent="0.25">
      <c r="A105" s="162" t="s">
        <v>103</v>
      </c>
      <c r="B105" s="163"/>
      <c r="C105" s="11">
        <f>ROUND(C106-C104,2)</f>
        <v>0</v>
      </c>
      <c r="E105" s="88"/>
      <c r="G105" s="28"/>
      <c r="H105" s="28"/>
      <c r="I105" s="28"/>
      <c r="J105" s="28"/>
    </row>
    <row r="106" spans="1:11" s="28" customFormat="1" x14ac:dyDescent="0.25">
      <c r="A106" s="155" t="s">
        <v>104</v>
      </c>
      <c r="B106" s="155"/>
      <c r="C106" s="11">
        <f>ROUND(C104/(1-$B$102),2)</f>
        <v>0</v>
      </c>
      <c r="D106" s="40"/>
    </row>
    <row r="107" spans="1:11" s="28" customFormat="1" x14ac:dyDescent="0.25">
      <c r="A107" s="93"/>
      <c r="B107" s="115"/>
      <c r="C107" s="94"/>
    </row>
    <row r="108" spans="1:11" s="28" customFormat="1" x14ac:dyDescent="0.25">
      <c r="A108" s="151" t="s">
        <v>105</v>
      </c>
      <c r="B108" s="156"/>
      <c r="C108" s="157"/>
    </row>
    <row r="109" spans="1:11" s="28" customFormat="1" x14ac:dyDescent="0.25">
      <c r="A109" s="164" t="s">
        <v>106</v>
      </c>
      <c r="B109" s="164"/>
      <c r="C109" s="17">
        <f>ROUND(C106,2)</f>
        <v>0</v>
      </c>
    </row>
    <row r="110" spans="1:11" x14ac:dyDescent="0.25">
      <c r="A110" s="18"/>
      <c r="B110" s="115"/>
      <c r="C110" s="94"/>
    </row>
    <row r="111" spans="1:11" hidden="1" x14ac:dyDescent="0.25">
      <c r="A111" s="155" t="s">
        <v>107</v>
      </c>
      <c r="B111" s="155"/>
      <c r="C111" s="65" t="e">
        <f>ROUND(#REF!/C8,2)</f>
        <v>#REF!</v>
      </c>
    </row>
    <row r="112" spans="1:11" x14ac:dyDescent="0.25">
      <c r="A112" s="155" t="s">
        <v>108</v>
      </c>
      <c r="B112" s="155"/>
      <c r="C112" s="65">
        <f>ROUND(C109/C10,2)</f>
        <v>0</v>
      </c>
    </row>
    <row r="113" spans="1:3" hidden="1" x14ac:dyDescent="0.25">
      <c r="A113" s="155" t="s">
        <v>109</v>
      </c>
      <c r="B113" s="155"/>
      <c r="C113" s="65" t="e">
        <f>#REF!</f>
        <v>#REF!</v>
      </c>
    </row>
    <row r="114" spans="1:3" x14ac:dyDescent="0.25">
      <c r="C114" s="94"/>
    </row>
  </sheetData>
  <mergeCells count="30">
    <mergeCell ref="A108:C108"/>
    <mergeCell ref="A109:B109"/>
    <mergeCell ref="A111:B111"/>
    <mergeCell ref="A112:B112"/>
    <mergeCell ref="A113:B113"/>
    <mergeCell ref="A106:B106"/>
    <mergeCell ref="A86:B86"/>
    <mergeCell ref="A88:C88"/>
    <mergeCell ref="E91:F91"/>
    <mergeCell ref="A92:B92"/>
    <mergeCell ref="E92:F92"/>
    <mergeCell ref="A93:B93"/>
    <mergeCell ref="E93:F93"/>
    <mergeCell ref="A94:B94"/>
    <mergeCell ref="E94:F94"/>
    <mergeCell ref="A96:C96"/>
    <mergeCell ref="A104:B104"/>
    <mergeCell ref="A105:B105"/>
    <mergeCell ref="A76:C76"/>
    <mergeCell ref="A1:C1"/>
    <mergeCell ref="A2:C2"/>
    <mergeCell ref="A4:C4"/>
    <mergeCell ref="A8:B8"/>
    <mergeCell ref="A13:C13"/>
    <mergeCell ref="A20:B20"/>
    <mergeCell ref="A22:C22"/>
    <mergeCell ref="A28:B28"/>
    <mergeCell ref="A30:C30"/>
    <mergeCell ref="A45:B45"/>
    <mergeCell ref="A70:B7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18</vt:i4>
      </vt:variant>
    </vt:vector>
  </HeadingPairs>
  <TitlesOfParts>
    <vt:vector size="28" baseType="lpstr">
      <vt:lpstr>Composição</vt:lpstr>
      <vt:lpstr>1</vt:lpstr>
      <vt:lpstr>2</vt:lpstr>
      <vt:lpstr>3</vt:lpstr>
      <vt:lpstr>4</vt:lpstr>
      <vt:lpstr>5</vt:lpstr>
      <vt:lpstr>6</vt:lpstr>
      <vt:lpstr>7</vt:lpstr>
      <vt:lpstr>8</vt:lpstr>
      <vt:lpstr>UST</vt:lpstr>
      <vt:lpstr>'1'!Area_de_impressao</vt:lpstr>
      <vt:lpstr>'2'!Area_de_impressao</vt:lpstr>
      <vt:lpstr>'3'!Area_de_impressao</vt:lpstr>
      <vt:lpstr>'4'!Area_de_impressao</vt:lpstr>
      <vt:lpstr>'5'!Area_de_impressao</vt:lpstr>
      <vt:lpstr>'6'!Area_de_impressao</vt:lpstr>
      <vt:lpstr>'7'!Area_de_impressao</vt:lpstr>
      <vt:lpstr>'8'!Area_de_impressao</vt:lpstr>
      <vt:lpstr>UST!Area_de_impressao</vt:lpstr>
      <vt:lpstr>'1'!Titulos_de_impressao</vt:lpstr>
      <vt:lpstr>'2'!Titulos_de_impressao</vt:lpstr>
      <vt:lpstr>'3'!Titulos_de_impressao</vt:lpstr>
      <vt:lpstr>'4'!Titulos_de_impressao</vt:lpstr>
      <vt:lpstr>'5'!Titulos_de_impressao</vt:lpstr>
      <vt:lpstr>'6'!Titulos_de_impressao</vt:lpstr>
      <vt:lpstr>'7'!Titulos_de_impressao</vt:lpstr>
      <vt:lpstr>'8'!Titulos_de_impressao</vt:lpstr>
      <vt:lpstr>UST!Titulos_de_impressao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Borelli</dc:creator>
  <cp:lastModifiedBy>Julimara Cardoso de Oliveira</cp:lastModifiedBy>
  <cp:lastPrinted>2020-11-25T16:16:18Z</cp:lastPrinted>
  <dcterms:created xsi:type="dcterms:W3CDTF">2019-05-24T14:19:40Z</dcterms:created>
  <dcterms:modified xsi:type="dcterms:W3CDTF">2020-11-25T16:16:22Z</dcterms:modified>
</cp:coreProperties>
</file>